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7\c$\Users\eilopez.UPCVTEC\Desktop\Información Publica\2026\03.- Datos Abiertos 2026\04 ABRIL 2026\Organización Comunitaria para la Prevención\"/>
    </mc:Choice>
  </mc:AlternateContent>
  <xr:revisionPtr revIDLastSave="0" documentId="13_ncr:1_{B3F066A1-FE41-4652-9209-D0F32DB86D59}" xr6:coauthVersionLast="36" xr6:coauthVersionMax="36" xr10:uidLastSave="{00000000-0000-0000-0000-000000000000}"/>
  <bookViews>
    <workbookView xWindow="0" yWindow="0" windowWidth="28800" windowHeight="12105" xr2:uid="{F32445FD-8986-4919-AE2B-BE8487B696D2}"/>
  </bookViews>
  <sheets>
    <sheet name="PROPEVII" sheetId="9" r:id="rId1"/>
    <sheet name="PROPEVI" sheetId="6" state="hidden" r:id="rId2"/>
    <sheet name="POST-PENITENCIARIA" sheetId="7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0" i="9" l="1"/>
  <c r="I90" i="9"/>
  <c r="D90" i="9"/>
  <c r="C90" i="9"/>
  <c r="N89" i="9"/>
  <c r="I89" i="9"/>
  <c r="F89" i="9"/>
  <c r="D89" i="9"/>
  <c r="N88" i="9"/>
  <c r="I88" i="9"/>
  <c r="H88" i="9"/>
  <c r="C88" i="9"/>
  <c r="D88" i="9" s="1"/>
  <c r="N87" i="9"/>
  <c r="F87" i="9"/>
  <c r="I87" i="9" s="1"/>
  <c r="C87" i="9"/>
  <c r="B87" i="9"/>
  <c r="D87" i="9" s="1"/>
  <c r="N86" i="9"/>
  <c r="I86" i="9"/>
  <c r="D86" i="9"/>
  <c r="C86" i="9"/>
  <c r="N85" i="9"/>
  <c r="G85" i="9"/>
  <c r="I85" i="9" s="1"/>
  <c r="D85" i="9"/>
  <c r="B85" i="9"/>
  <c r="N84" i="9"/>
  <c r="I84" i="9"/>
  <c r="C84" i="9"/>
  <c r="D84" i="9" s="1"/>
  <c r="N83" i="9"/>
  <c r="F83" i="9"/>
  <c r="I83" i="9" s="1"/>
  <c r="D83" i="9"/>
  <c r="N82" i="9"/>
  <c r="I82" i="9"/>
  <c r="D82" i="9"/>
  <c r="N81" i="9"/>
  <c r="F81" i="9"/>
  <c r="I81" i="9" s="1"/>
  <c r="D81" i="9"/>
  <c r="C81" i="9"/>
  <c r="N80" i="9"/>
  <c r="I80" i="9"/>
  <c r="D80" i="9"/>
  <c r="N79" i="9"/>
  <c r="I79" i="9"/>
  <c r="D79" i="9"/>
  <c r="N78" i="9"/>
  <c r="G78" i="9"/>
  <c r="I78" i="9" s="1"/>
  <c r="D78" i="9"/>
  <c r="C78" i="9"/>
  <c r="N77" i="9"/>
  <c r="I77" i="9"/>
  <c r="D77" i="9"/>
  <c r="C77" i="9"/>
  <c r="N76" i="9"/>
  <c r="F76" i="9"/>
  <c r="I76" i="9" s="1"/>
  <c r="C76" i="9"/>
  <c r="D76" i="9" s="1"/>
  <c r="N75" i="9"/>
  <c r="G75" i="9"/>
  <c r="I75" i="9" s="1"/>
  <c r="F75" i="9"/>
  <c r="C75" i="9"/>
  <c r="D75" i="9" s="1"/>
  <c r="B75" i="9"/>
  <c r="N74" i="9"/>
  <c r="I74" i="9"/>
  <c r="D74" i="9"/>
  <c r="N73" i="9"/>
  <c r="G73" i="9"/>
  <c r="I73" i="9" s="1"/>
  <c r="D73" i="9"/>
  <c r="C73" i="9"/>
  <c r="N72" i="9"/>
  <c r="H72" i="9"/>
  <c r="G72" i="9"/>
  <c r="I72" i="9" s="1"/>
  <c r="B72" i="9"/>
  <c r="D72" i="9" s="1"/>
  <c r="N71" i="9"/>
  <c r="G71" i="9"/>
  <c r="I71" i="9" s="1"/>
  <c r="B71" i="9"/>
  <c r="D71" i="9" s="1"/>
  <c r="N70" i="9"/>
  <c r="G70" i="9"/>
  <c r="I70" i="9" s="1"/>
  <c r="D70" i="9"/>
  <c r="N69" i="9"/>
  <c r="I69" i="9"/>
  <c r="G69" i="9"/>
  <c r="C69" i="9"/>
  <c r="D69" i="9" s="1"/>
  <c r="N68" i="9"/>
  <c r="H68" i="9"/>
  <c r="I68" i="9" s="1"/>
  <c r="G68" i="9"/>
  <c r="C68" i="9"/>
  <c r="B68" i="9"/>
  <c r="D68" i="9" s="1"/>
  <c r="N67" i="9"/>
  <c r="G67" i="9"/>
  <c r="F67" i="9"/>
  <c r="E67" i="9"/>
  <c r="I67" i="9" s="1"/>
  <c r="D67" i="9"/>
  <c r="C67" i="9"/>
  <c r="B67" i="9"/>
  <c r="N66" i="9"/>
  <c r="F66" i="9"/>
  <c r="I66" i="9" s="1"/>
  <c r="D66" i="9"/>
  <c r="N65" i="9"/>
  <c r="F65" i="9"/>
  <c r="I65" i="9" s="1"/>
  <c r="D65" i="9"/>
  <c r="C65" i="9"/>
  <c r="N64" i="9"/>
  <c r="I64" i="9"/>
  <c r="D64" i="9"/>
  <c r="N63" i="9"/>
  <c r="I63" i="9"/>
  <c r="H63" i="9"/>
  <c r="G63" i="9"/>
  <c r="F63" i="9"/>
  <c r="C63" i="9"/>
  <c r="B63" i="9"/>
  <c r="D63" i="9" s="1"/>
  <c r="N62" i="9"/>
  <c r="I62" i="9"/>
  <c r="D62" i="9"/>
  <c r="N61" i="9"/>
  <c r="I61" i="9"/>
  <c r="D61" i="9"/>
  <c r="N60" i="9"/>
  <c r="I60" i="9"/>
  <c r="G60" i="9"/>
  <c r="D60" i="9"/>
  <c r="N59" i="9"/>
  <c r="F59" i="9"/>
  <c r="I59" i="9" s="1"/>
  <c r="D59" i="9"/>
  <c r="N58" i="9"/>
  <c r="I58" i="9"/>
  <c r="C58" i="9"/>
  <c r="D58" i="9" s="1"/>
  <c r="N57" i="9"/>
  <c r="I57" i="9"/>
  <c r="F57" i="9"/>
  <c r="D57" i="9"/>
  <c r="N56" i="9"/>
  <c r="I56" i="9"/>
  <c r="D56" i="9"/>
  <c r="N55" i="9"/>
  <c r="F55" i="9"/>
  <c r="I55" i="9" s="1"/>
  <c r="D55" i="9"/>
  <c r="C55" i="9"/>
  <c r="N54" i="9"/>
  <c r="I54" i="9"/>
  <c r="D54" i="9"/>
  <c r="N53" i="9"/>
  <c r="G53" i="9"/>
  <c r="I53" i="9" s="1"/>
  <c r="D53" i="9"/>
  <c r="B53" i="9"/>
  <c r="N52" i="9"/>
  <c r="I52" i="9"/>
  <c r="G52" i="9"/>
  <c r="D52" i="9"/>
  <c r="N51" i="9"/>
  <c r="I51" i="9"/>
  <c r="D51" i="9"/>
  <c r="C51" i="9"/>
  <c r="N50" i="9"/>
  <c r="I50" i="9"/>
  <c r="G50" i="9"/>
  <c r="C50" i="9"/>
  <c r="D50" i="9" s="1"/>
  <c r="N49" i="9"/>
  <c r="I49" i="9"/>
  <c r="D49" i="9"/>
  <c r="N48" i="9"/>
  <c r="I48" i="9"/>
  <c r="B48" i="9"/>
  <c r="D48" i="9" s="1"/>
  <c r="N47" i="9"/>
  <c r="I47" i="9"/>
  <c r="D47" i="9"/>
  <c r="N46" i="9"/>
  <c r="F46" i="9"/>
  <c r="I46" i="9" s="1"/>
  <c r="E46" i="9"/>
  <c r="C46" i="9"/>
  <c r="B46" i="9"/>
  <c r="D46" i="9" s="1"/>
  <c r="N45" i="9"/>
  <c r="I45" i="9"/>
  <c r="D45" i="9"/>
  <c r="N44" i="9"/>
  <c r="G44" i="9"/>
  <c r="I44" i="9" s="1"/>
  <c r="D44" i="9"/>
  <c r="N43" i="9"/>
  <c r="I43" i="9"/>
  <c r="D43" i="9"/>
  <c r="N42" i="9"/>
  <c r="I42" i="9"/>
  <c r="F42" i="9"/>
  <c r="D42" i="9"/>
  <c r="N41" i="9"/>
  <c r="I41" i="9"/>
  <c r="F41" i="9"/>
  <c r="C41" i="9"/>
  <c r="D41" i="9" s="1"/>
  <c r="N40" i="9"/>
  <c r="E40" i="9"/>
  <c r="I40" i="9" s="1"/>
  <c r="D40" i="9"/>
  <c r="N39" i="9"/>
  <c r="I39" i="9"/>
  <c r="D39" i="9"/>
  <c r="N38" i="9"/>
  <c r="I38" i="9"/>
  <c r="E38" i="9"/>
  <c r="D38" i="9"/>
  <c r="N37" i="9"/>
  <c r="I37" i="9"/>
  <c r="G37" i="9"/>
  <c r="B37" i="9"/>
  <c r="D37" i="9" s="1"/>
  <c r="N36" i="9"/>
  <c r="G36" i="9"/>
  <c r="I36" i="9" s="1"/>
  <c r="F36" i="9"/>
  <c r="C36" i="9"/>
  <c r="D36" i="9" s="1"/>
  <c r="B36" i="9"/>
  <c r="N35" i="9"/>
  <c r="I35" i="9"/>
  <c r="C35" i="9"/>
  <c r="D35" i="9" s="1"/>
  <c r="N34" i="9"/>
  <c r="I34" i="9"/>
  <c r="E34" i="9"/>
  <c r="D34" i="9"/>
  <c r="N33" i="9"/>
  <c r="I33" i="9"/>
  <c r="E33" i="9"/>
  <c r="D33" i="9"/>
  <c r="N32" i="9"/>
  <c r="G32" i="9"/>
  <c r="I32" i="9" s="1"/>
  <c r="F32" i="9"/>
  <c r="C32" i="9"/>
  <c r="D32" i="9" s="1"/>
  <c r="N31" i="9"/>
  <c r="H31" i="9"/>
  <c r="G31" i="9"/>
  <c r="F31" i="9"/>
  <c r="I31" i="9" s="1"/>
  <c r="E31" i="9"/>
  <c r="C31" i="9"/>
  <c r="B31" i="9"/>
  <c r="D31" i="9" s="1"/>
  <c r="N30" i="9"/>
  <c r="G30" i="9"/>
  <c r="F30" i="9"/>
  <c r="I30" i="9" s="1"/>
  <c r="C30" i="9"/>
  <c r="B30" i="9"/>
  <c r="D30" i="9" s="1"/>
  <c r="N29" i="9"/>
  <c r="G29" i="9"/>
  <c r="I29" i="9" s="1"/>
  <c r="D29" i="9"/>
  <c r="B29" i="9"/>
  <c r="N28" i="9"/>
  <c r="G28" i="9"/>
  <c r="E28" i="9"/>
  <c r="I28" i="9" s="1"/>
  <c r="D28" i="9"/>
  <c r="C28" i="9"/>
  <c r="B28" i="9"/>
  <c r="N27" i="9"/>
  <c r="G27" i="9"/>
  <c r="E27" i="9"/>
  <c r="I27" i="9" s="1"/>
  <c r="C27" i="9"/>
  <c r="B27" i="9"/>
  <c r="D27" i="9" s="1"/>
  <c r="N26" i="9"/>
  <c r="L26" i="9"/>
  <c r="K26" i="9"/>
  <c r="G26" i="9"/>
  <c r="F26" i="9"/>
  <c r="I26" i="9" s="1"/>
  <c r="D26" i="9"/>
  <c r="C26" i="9"/>
  <c r="B26" i="9"/>
  <c r="N25" i="9"/>
  <c r="G25" i="9"/>
  <c r="F25" i="9"/>
  <c r="I25" i="9" s="1"/>
  <c r="C25" i="9"/>
  <c r="B25" i="9"/>
  <c r="D25" i="9" s="1"/>
  <c r="N24" i="9"/>
  <c r="F24" i="9"/>
  <c r="E24" i="9"/>
  <c r="I24" i="9" s="1"/>
  <c r="C24" i="9"/>
  <c r="B24" i="9"/>
  <c r="D24" i="9" s="1"/>
  <c r="N23" i="9"/>
  <c r="G23" i="9"/>
  <c r="I23" i="9" s="1"/>
  <c r="F23" i="9"/>
  <c r="C23" i="9"/>
  <c r="D23" i="9" s="1"/>
  <c r="B23" i="9"/>
  <c r="N22" i="9"/>
  <c r="H22" i="9"/>
  <c r="I22" i="9" s="1"/>
  <c r="G22" i="9"/>
  <c r="F22" i="9"/>
  <c r="C22" i="9"/>
  <c r="B22" i="9"/>
  <c r="D22" i="9" s="1"/>
  <c r="N21" i="9"/>
  <c r="I21" i="9"/>
  <c r="C21" i="9"/>
  <c r="D21" i="9" s="1"/>
  <c r="N20" i="9"/>
  <c r="I20" i="9"/>
  <c r="D20" i="9"/>
  <c r="C20" i="9"/>
  <c r="N19" i="9"/>
  <c r="G19" i="9"/>
  <c r="I19" i="9" s="1"/>
  <c r="D19" i="9"/>
  <c r="N18" i="9"/>
  <c r="G18" i="9"/>
  <c r="I18" i="9" s="1"/>
  <c r="D18" i="9"/>
  <c r="N17" i="9"/>
  <c r="E17" i="9"/>
  <c r="I17" i="9" s="1"/>
  <c r="D17" i="9"/>
  <c r="N16" i="9"/>
  <c r="E16" i="9"/>
  <c r="I16" i="9" s="1"/>
  <c r="D16" i="9"/>
  <c r="N15" i="9"/>
  <c r="I15" i="9"/>
  <c r="D15" i="9"/>
  <c r="N14" i="9"/>
  <c r="I14" i="9"/>
  <c r="D14" i="9"/>
  <c r="N13" i="9"/>
  <c r="I13" i="9"/>
  <c r="D13" i="9"/>
  <c r="N12" i="9"/>
  <c r="F12" i="9"/>
  <c r="I12" i="9" s="1"/>
  <c r="D12" i="9"/>
  <c r="N11" i="9"/>
  <c r="I11" i="9"/>
  <c r="E11" i="9"/>
  <c r="D11" i="9"/>
  <c r="N10" i="9"/>
  <c r="I10" i="9"/>
  <c r="E10" i="9"/>
  <c r="D10" i="9"/>
  <c r="N9" i="9"/>
  <c r="I9" i="9"/>
  <c r="G9" i="9"/>
  <c r="D9" i="9"/>
  <c r="N8" i="9"/>
  <c r="G8" i="9"/>
  <c r="I8" i="9" s="1"/>
  <c r="D8" i="9"/>
  <c r="N7" i="9"/>
  <c r="I7" i="9"/>
  <c r="E7" i="9"/>
  <c r="D7" i="9"/>
  <c r="N6" i="9"/>
  <c r="I6" i="9"/>
  <c r="G6" i="9"/>
  <c r="C6" i="9"/>
  <c r="B6" i="9"/>
  <c r="D6" i="9" s="1"/>
  <c r="N5" i="9"/>
  <c r="I5" i="9"/>
  <c r="H5" i="9"/>
  <c r="G5" i="9"/>
  <c r="F5" i="9"/>
  <c r="E5" i="9"/>
  <c r="C5" i="9"/>
  <c r="D5" i="9" s="1"/>
  <c r="B5" i="9"/>
  <c r="O15" i="7" l="1"/>
  <c r="J15" i="7"/>
  <c r="E15" i="7"/>
  <c r="O14" i="7"/>
  <c r="J14" i="7"/>
  <c r="E14" i="7"/>
  <c r="O13" i="7"/>
  <c r="J13" i="7"/>
  <c r="E13" i="7"/>
  <c r="O12" i="7"/>
  <c r="J12" i="7"/>
  <c r="E12" i="7"/>
  <c r="O11" i="7"/>
  <c r="J11" i="7"/>
  <c r="E11" i="7"/>
  <c r="O10" i="7"/>
  <c r="J10" i="7"/>
  <c r="E10" i="7"/>
  <c r="O9" i="7"/>
  <c r="J9" i="7"/>
  <c r="E9" i="7"/>
  <c r="O8" i="7"/>
  <c r="J8" i="7"/>
  <c r="E8" i="7"/>
  <c r="O7" i="7"/>
  <c r="J7" i="7"/>
  <c r="E7" i="7"/>
  <c r="O6" i="7"/>
  <c r="J6" i="7"/>
  <c r="E6" i="7"/>
  <c r="O5" i="7"/>
  <c r="J5" i="7"/>
  <c r="E5" i="7"/>
</calcChain>
</file>

<file path=xl/sharedStrings.xml><?xml version="1.0" encoding="utf-8"?>
<sst xmlns="http://schemas.openxmlformats.org/spreadsheetml/2006/main" count="632" uniqueCount="295">
  <si>
    <t>0 a menores de 13 años</t>
  </si>
  <si>
    <t>Mayores de 60 años (Tercera edad)</t>
  </si>
  <si>
    <t>Maya</t>
  </si>
  <si>
    <t>Xinka</t>
  </si>
  <si>
    <t>Otro</t>
  </si>
  <si>
    <t>Mayores de 30 a  60 años</t>
  </si>
  <si>
    <t>UNIDAD PARA LA PREVENCIÓN COMUNITARIA DE LA VIOLENCIA -UPCV-</t>
  </si>
  <si>
    <t xml:space="preserve">TIPO DE ACTIVIDAD </t>
  </si>
  <si>
    <t>TOTAL</t>
  </si>
  <si>
    <t>Mujer</t>
  </si>
  <si>
    <t>Hombre</t>
  </si>
  <si>
    <t>DEPARTAMENTO</t>
  </si>
  <si>
    <t>MUNICIPIO</t>
  </si>
  <si>
    <t xml:space="preserve">DIRECCIÓN </t>
  </si>
  <si>
    <t xml:space="preserve">NOMBRE DEL LUGAR INTERVENIDO </t>
  </si>
  <si>
    <t xml:space="preserve">MINISTERIO DE GOBERNACIÓN </t>
  </si>
  <si>
    <t>PRIMER SEMESTRE 2024</t>
  </si>
  <si>
    <t xml:space="preserve">ACCIÓN EN PREVENCIÓN DE VIOLENCIA </t>
  </si>
  <si>
    <t>13-30 años (Juventud)</t>
  </si>
  <si>
    <t>Garífuna</t>
  </si>
  <si>
    <t>Sacatepéquez</t>
  </si>
  <si>
    <t>Chimaltenango</t>
  </si>
  <si>
    <t>Escuintla</t>
  </si>
  <si>
    <t>Guatemala</t>
  </si>
  <si>
    <t>Jutiapa</t>
  </si>
  <si>
    <t xml:space="preserve">Taller Psicoeducativo:  con la participación del Centro de Desarrollo Integral Brazos de Amor para brindar talleres o capacitaciones a niños, niñas y adolescentes con el tema a desarrollar " Plan de Vida". </t>
  </si>
  <si>
    <t>Villa Nueva</t>
  </si>
  <si>
    <t>3ra avenida 2-46, Venecia, zona 2, Villa Nueva.</t>
  </si>
  <si>
    <t>" Centro de Desarrollol Integral, Brazos de Amor"</t>
  </si>
  <si>
    <t xml:space="preserve"> Centro de Desarrollo Integral Brazos de Amor para brindar talleres o capacitaciones a mujeres y hombres, con el tema " Prevención del abuso sexual en niños, niñas y adolescentes a través de una crianza con amor, para padres de familia.</t>
  </si>
  <si>
    <t>Taller de Cuidado y Autocuidado en la Violencia Intrafamiliar</t>
  </si>
  <si>
    <t>Zona 1, Chimaltenango</t>
  </si>
  <si>
    <t>Centro educativo 20 de mayo, municipio de Patzún, departamento de Chimaltenango</t>
  </si>
  <si>
    <t>Desarrollo del Taller "Amando mi Salud Mental"</t>
  </si>
  <si>
    <t>16 avenida 1-62, zo na 4, Col. Sarzal. UNAERC</t>
  </si>
  <si>
    <t xml:space="preserve"> UNAERC/ Villa Nuevs</t>
  </si>
  <si>
    <t>Taller de Comunicación Asertiva como factor protector de violencia Intrafamiliar</t>
  </si>
  <si>
    <t>Patzun</t>
  </si>
  <si>
    <t>Zona 1, Patzun</t>
  </si>
  <si>
    <t>Capacitación sobre  Prevención de la Violencia Intrfamiliar enfocada a la "Autoestima"</t>
  </si>
  <si>
    <t>Guardia de Honor Ministerio de la defensa, 6ta, avenida 1-50, zona 10.</t>
  </si>
  <si>
    <t>Salon de usos multiples Guardia de Honor, zona 10</t>
  </si>
  <si>
    <t>Capacitación " Conmemoración del día Internacional de la Mujer con el desarrollo del tema " Autoestima"</t>
  </si>
  <si>
    <t>Concepción la Democracia</t>
  </si>
  <si>
    <t>Zona 1,  La Democracia</t>
  </si>
  <si>
    <t>Polideprotivo</t>
  </si>
  <si>
    <t>Capacitación sobre " Prevención de Embarazos en Adolscentes"</t>
  </si>
  <si>
    <t>Alameda Chimaltenango, zona 4</t>
  </si>
  <si>
    <t>Instituto Nacional de Educación Básico Pedro Molina</t>
  </si>
  <si>
    <t>Capacitación sobre Familia de la Prevención enfocada en adolescentes.</t>
  </si>
  <si>
    <t>Zona 4, Escuintla</t>
  </si>
  <si>
    <t>Instituto Ideas, Escuintla</t>
  </si>
  <si>
    <t>Capacitación sobre " Prevención de la Violencia Escolar"</t>
  </si>
  <si>
    <t>Posaco</t>
  </si>
  <si>
    <t>Centro Posaco, zona 1</t>
  </si>
  <si>
    <t>Aldea el Socorro</t>
  </si>
  <si>
    <t>Prevención de la Violencia en la Familia y Prevención del consumo de Drogas, por medio de activivdades ludicas  Rally.</t>
  </si>
  <si>
    <t>Puerto Barrios</t>
  </si>
  <si>
    <t>Zona Central</t>
  </si>
  <si>
    <t>Colegio Puerto Barrios</t>
  </si>
  <si>
    <t>Desarrollo de la Capacitación sobre " Madre  Asertiva", enfocada a Mujeres.</t>
  </si>
  <si>
    <t>Zona 1, Villa Nueva</t>
  </si>
  <si>
    <t>Centro de Desarrollo Integral</t>
  </si>
  <si>
    <t>Desarrollo de la Capacitación sobre " Madre  Asertiva"</t>
  </si>
  <si>
    <t>San Miguel Petapa</t>
  </si>
  <si>
    <t>Zona 1, San Miguel Petapa</t>
  </si>
  <si>
    <t>Centro de Desarrollo Integral. CAINAN</t>
  </si>
  <si>
    <t>Desarrollo de la Capacitación sobre                             " Madre  Asertiva"</t>
  </si>
  <si>
    <t>Zaragoza</t>
  </si>
  <si>
    <t>Aldea Joya Grande, zona 3</t>
  </si>
  <si>
    <t>Establecimiento Familia y Previniendo la Violencia</t>
  </si>
  <si>
    <t>Desarrollo del taller sobre                                                                     " Prevención del Bulling"</t>
  </si>
  <si>
    <t>Bulevar Liberación 13-19, zona 12, Guatemala</t>
  </si>
  <si>
    <t>Escuela Tipo Federación Jose Joaquin Palma</t>
  </si>
  <si>
    <t>Desarrollo del taller sobre                                    "Prevención del  Acoso Escolar"</t>
  </si>
  <si>
    <r>
      <t>Guate</t>
    </r>
    <r>
      <rPr>
        <i/>
        <sz val="11"/>
        <color theme="1"/>
        <rFont val="Calibri"/>
        <family val="2"/>
        <scheme val="minor"/>
      </rPr>
      <t>mala</t>
    </r>
  </si>
  <si>
    <t>Zona 7, Quinta Samayoa</t>
  </si>
  <si>
    <t>Colegio San Francisco de Asis</t>
  </si>
  <si>
    <t>De enero a Junio 2024</t>
  </si>
  <si>
    <t xml:space="preserve">Fortalecimiento Psicosocial a jovenes en conflicto con ley penal </t>
  </si>
  <si>
    <t>San José Pinula</t>
  </si>
  <si>
    <t>Aldea El Platanar</t>
  </si>
  <si>
    <t>Nuevo Modelo de Gestión Juvenil "Casa Intermedia"</t>
  </si>
  <si>
    <t>San Juan Sacatepéquez</t>
  </si>
  <si>
    <t>Km. 18 carretera a San Pedro Sacatepéquez, Guatemala.</t>
  </si>
  <si>
    <t>Centro Juvenil de Privación de Libertad para Mujeres "Gorriones"</t>
  </si>
  <si>
    <t xml:space="preserve">2da calle 1-59 "A" Colonia Itzcuintlan, SBS </t>
  </si>
  <si>
    <t>Medidas Socioeducativas SBS/Escuintla</t>
  </si>
  <si>
    <t>Fotalecimiento al programa de reintegración familiar</t>
  </si>
  <si>
    <t>8a avenida 2-47 zona 1, Guatemala.</t>
  </si>
  <si>
    <t>Residenca Zafiro 1</t>
  </si>
  <si>
    <t>8a calle 13-56 zona 1, Guatemala.</t>
  </si>
  <si>
    <t>Residencia Zafiro 2</t>
  </si>
  <si>
    <t>10a. avenida 5-21 zona 1, Guatemala.</t>
  </si>
  <si>
    <t>Residencia Diamante 3</t>
  </si>
  <si>
    <t>Aldea Hierbabuena, km 60.8</t>
  </si>
  <si>
    <t>Hogar para niñas Mi Especial Tesoro</t>
  </si>
  <si>
    <t>Aldea El Cuntic</t>
  </si>
  <si>
    <t>Hogar Gian Andrea Tiboldi</t>
  </si>
  <si>
    <t>Sumpango</t>
  </si>
  <si>
    <t>km. 47. Sumpango</t>
  </si>
  <si>
    <t>Hogar Home International Guatemala</t>
  </si>
  <si>
    <t>Km. 46.5  a un costado de Vistas del Sol</t>
  </si>
  <si>
    <t>Hogar Madre Anna Vitiello</t>
  </si>
  <si>
    <t>Fortalecimiento Psicosocial a personas privadas y exprivadas de libertad</t>
  </si>
  <si>
    <t>Fraijantes</t>
  </si>
  <si>
    <t>Complejo del Sistema Peniteciario</t>
  </si>
  <si>
    <t>Unidad del Nuevo Modelo de Gestión Penal "Fraijanes 1"</t>
  </si>
  <si>
    <t>PRIMER SEMESTRE 2026</t>
  </si>
  <si>
    <t>El Progreso</t>
  </si>
  <si>
    <t>Quetzaltenango</t>
  </si>
  <si>
    <t>Alta Verapaz</t>
  </si>
  <si>
    <t>Santa Rosa</t>
  </si>
  <si>
    <t>Quiché</t>
  </si>
  <si>
    <t>Izabal</t>
  </si>
  <si>
    <t>Jalapa</t>
  </si>
  <si>
    <t>San Agustín Acasaguastlán</t>
  </si>
  <si>
    <t>Morales</t>
  </si>
  <si>
    <t>Barberena</t>
  </si>
  <si>
    <t>Casillas</t>
  </si>
  <si>
    <t>Cuilapa</t>
  </si>
  <si>
    <t>Xinca</t>
  </si>
  <si>
    <t>Mayores de 30 a 60 años</t>
  </si>
  <si>
    <t>Socialización: "Del Programa de Prevención de la Violencia "</t>
  </si>
  <si>
    <t>Vía 4. 1-61, zona 4, Ciudad de Guatemala</t>
  </si>
  <si>
    <t>Sede Central del Programa para le Prevención y Erradicación de la Violencia</t>
  </si>
  <si>
    <t>Guanagazapa</t>
  </si>
  <si>
    <t>6ta. Avenida 3-00, zona 1</t>
  </si>
  <si>
    <t>Municipalidad de Guanagazapa</t>
  </si>
  <si>
    <t>Calle principal, Aldea El Rodeo</t>
  </si>
  <si>
    <t>Escuela Oficial Mixta Aldea El Rodeo</t>
  </si>
  <si>
    <t>Masagua</t>
  </si>
  <si>
    <t>Calle principal Centro, Aldea El Milagro</t>
  </si>
  <si>
    <t>Instituto Nacional de Educación Básica</t>
  </si>
  <si>
    <t>Taller: Violencia Intrafamiliar y Ruta de la Denuncia</t>
  </si>
  <si>
    <t>Tiquisate</t>
  </si>
  <si>
    <t xml:space="preserve">Calle El Rastro 5, Pueblo Nuevo </t>
  </si>
  <si>
    <t>Finca Bananera Palo Blanco</t>
  </si>
  <si>
    <t>Colonia La Dignidad, de la Finca La Industria, kilómetro 58 de la Ruta a Puerto San José</t>
  </si>
  <si>
    <t>Escuela Bicentenario</t>
  </si>
  <si>
    <t>Aldea San Antonio Buena Vista</t>
  </si>
  <si>
    <t>Escuela Oficial Rural Mixta</t>
  </si>
  <si>
    <t>Lote 80, Sector 2, 3ra. Avenida Comunidad San Antonio Buena Vista</t>
  </si>
  <si>
    <t xml:space="preserve">Núcleo Familiar Educativo Para el Desarrollo -NUFED- No. 318 </t>
  </si>
  <si>
    <t xml:space="preserve">Patzicía </t>
  </si>
  <si>
    <t>2da. Calle, zona 4</t>
  </si>
  <si>
    <t>Juzgado de Paz</t>
  </si>
  <si>
    <t>2da. Calle 3-30, zona 3</t>
  </si>
  <si>
    <t>Agencia Fiscal del Ministerio Público</t>
  </si>
  <si>
    <t>2da. Calle 3-22, zona 3</t>
  </si>
  <si>
    <t>Defensa Pública Penal</t>
  </si>
  <si>
    <t>1ra. Calle 9-30, zona 3</t>
  </si>
  <si>
    <t>Instituto Nacional Experimental Leónidas Mencos Ávila (ILMA). Primero básico Sección "B"</t>
  </si>
  <si>
    <t>Instituto Nacional Experimental Leónidas Mencos Ávila (ILMA). Primero básico Sección "C"</t>
  </si>
  <si>
    <t>4ta. Avenida 1-71 Zona  7, Aldea Buena  Vista.</t>
  </si>
  <si>
    <t>Escuela Oficial Rural Mixta Buena Vista, Sector Norte</t>
  </si>
  <si>
    <t xml:space="preserve">Km. 115 CA-1 oriente, Salón Campo de la Feria </t>
  </si>
  <si>
    <t>Vecinos del Sector</t>
  </si>
  <si>
    <t>Asunción Mita</t>
  </si>
  <si>
    <t>Barrio El Calvario</t>
  </si>
  <si>
    <t>Moyuta</t>
  </si>
  <si>
    <t>Calle Principal, Salón Comunal, Aldea Pino Santa Cruz</t>
  </si>
  <si>
    <t>Aldea Las Pozas</t>
  </si>
  <si>
    <t>Centro Universitario</t>
  </si>
  <si>
    <t>5ta. Avenida y 15 calle</t>
  </si>
  <si>
    <t>Auditorio Municipal</t>
  </si>
  <si>
    <t>9na. Avenida entre 14 y 17 calles, Zona 0</t>
  </si>
  <si>
    <t xml:space="preserve">Instituto Experimental Dr. Luis Pasteur </t>
  </si>
  <si>
    <t>18 calle y 25 avenida, Aldea Puente Dos</t>
  </si>
  <si>
    <t xml:space="preserve">Escuela Anexa a Escuela Oficial Rural Mixta Aldea Puente dos. </t>
  </si>
  <si>
    <t>Caserío El Mitch</t>
  </si>
  <si>
    <t>Escuela Oficial Rural Mixta (EORM)</t>
  </si>
  <si>
    <t>Calle Urbanizada de la Terminal Portuaria, Santo Tomás de Castilla; Puerto Barrios, Izabal.</t>
  </si>
  <si>
    <t>Centro de Formación Portuario</t>
  </si>
  <si>
    <t xml:space="preserve">14 calle y 11 avenida </t>
  </si>
  <si>
    <t>Escuela Domingo Juarros</t>
  </si>
  <si>
    <t>1ra. Calle entre 2da. 8va. Avenida, Cancha Barrio El Rastro</t>
  </si>
  <si>
    <t>Feria de la Prevención</t>
  </si>
  <si>
    <t>Guastatoya</t>
  </si>
  <si>
    <t>Barrio El Porvenir I</t>
  </si>
  <si>
    <t xml:space="preserve">Salón Principal </t>
  </si>
  <si>
    <t>Caserío Las Champas</t>
  </si>
  <si>
    <t>Salón</t>
  </si>
  <si>
    <t xml:space="preserve">Barrio El Porvenir </t>
  </si>
  <si>
    <t>Salón de Eventos, Restaurante Lo Nuestro</t>
  </si>
  <si>
    <t>Colonia Hichos</t>
  </si>
  <si>
    <t>Salón de Reuniones del Ministerio de Gobernación</t>
  </si>
  <si>
    <t>Barrio Minerva</t>
  </si>
  <si>
    <t>Salón de actividades del Parque Acuático</t>
  </si>
  <si>
    <t>Morazán</t>
  </si>
  <si>
    <t>Aldea Plan de las Flores</t>
  </si>
  <si>
    <t>Escuela Oficial Primaria</t>
  </si>
  <si>
    <t>Guazacapán</t>
  </si>
  <si>
    <t>Barrio San Miguel Centro</t>
  </si>
  <si>
    <t xml:space="preserve">Barrio San Miguel </t>
  </si>
  <si>
    <t>2da. Calle 6-53, zona 1</t>
  </si>
  <si>
    <t>Escuela Oficial Urbana Mixta República de Centroamérica</t>
  </si>
  <si>
    <t>San Juan Tecuaco</t>
  </si>
  <si>
    <t>Ingreso a calle principal</t>
  </si>
  <si>
    <t>Calle principal</t>
  </si>
  <si>
    <t>Santa Cruz El Naranjo</t>
  </si>
  <si>
    <t>Barrio El Campo</t>
  </si>
  <si>
    <t>Instituto Nacional de Educación Diversificada Santa Cruz Naranjo</t>
  </si>
  <si>
    <t>Ministerio Público</t>
  </si>
  <si>
    <t>Barrio San Miguel Centro, Zona 0</t>
  </si>
  <si>
    <t>Municipalidad</t>
  </si>
  <si>
    <t>1ra. Avenida 1-77 calle 15 de septiembre, Barrio La Parroquia, zona 3</t>
  </si>
  <si>
    <t>Barrio La Parroquia</t>
  </si>
  <si>
    <t>Colonia Linda Vista, atrás del estadio Municipal</t>
  </si>
  <si>
    <t>Colonia Linda Vista</t>
  </si>
  <si>
    <t>Santa Cruz Del Quiché</t>
  </si>
  <si>
    <t>9na. Avenida 1-11, zona 3</t>
  </si>
  <si>
    <t>Sede del Juzgado de La Niñez y La Adolescencia y de Adolescentes en Conflicto con la Ley Penal</t>
  </si>
  <si>
    <t xml:space="preserve"> Chiché</t>
  </si>
  <si>
    <t>Zona 1</t>
  </si>
  <si>
    <t>Zona 1, calle principal</t>
  </si>
  <si>
    <t xml:space="preserve">Centro de Atención Permanente </t>
  </si>
  <si>
    <t xml:space="preserve">Salida a caserío Cruz de Caminos </t>
  </si>
  <si>
    <t xml:space="preserve">Juzgado de Paz </t>
  </si>
  <si>
    <t>Cantón La Rinconada</t>
  </si>
  <si>
    <t>2da. Calle 0-36, zona 5</t>
  </si>
  <si>
    <t>Instituto Normal Mixto Juan de León, jornada vespertina</t>
  </si>
  <si>
    <t>Chinique</t>
  </si>
  <si>
    <t xml:space="preserve">6ta. Avenida y 3ra. Calle Zona 3. </t>
  </si>
  <si>
    <t>2da. Avenida 2-82, zona 1</t>
  </si>
  <si>
    <t>Sede del Ministerio Público</t>
  </si>
  <si>
    <t>2da. Calle 2-47, Zona 1</t>
  </si>
  <si>
    <t>Oficina de Niñez y Adolescencia</t>
  </si>
  <si>
    <t xml:space="preserve">6ta. Calle y 2da. Avenida "A", zona 4 </t>
  </si>
  <si>
    <t>Aldea Lemóa</t>
  </si>
  <si>
    <t>Olintepeque</t>
  </si>
  <si>
    <t>Kilómetro 4.5 0-26, carretera al municipio de Olintepeque</t>
  </si>
  <si>
    <t>Núcleo Familiar Educativo para el Desarrollo 246, Olintepeque (NUFED 246)</t>
  </si>
  <si>
    <t>Diagonal 15, 7-25, zona 5</t>
  </si>
  <si>
    <t>Centro Educativo para niños Sordos, Región de Occidente</t>
  </si>
  <si>
    <t>14 Avenida "A" 3-36, zona 1</t>
  </si>
  <si>
    <t>Instituto Normal para Señoritas de Occidente</t>
  </si>
  <si>
    <t>21 Avenida 8-10, zona 1</t>
  </si>
  <si>
    <t>Colegio Dr. Rodolfo Robles</t>
  </si>
  <si>
    <t>13 Avenida 5-19, zona 1</t>
  </si>
  <si>
    <t>Gobernación Departamental de Quetzaltenango</t>
  </si>
  <si>
    <t>3ra. Calle "A", zona 1</t>
  </si>
  <si>
    <t>Palacio Municipal</t>
  </si>
  <si>
    <t>San Mateo</t>
  </si>
  <si>
    <t xml:space="preserve">3ra. Avenida 1-56, zona 1 </t>
  </si>
  <si>
    <t xml:space="preserve">Instituto Nacional de Educación Básica por Cooperativa </t>
  </si>
  <si>
    <t>11 Avenida, entre 5ta y 6ta calle, zona 1</t>
  </si>
  <si>
    <t>Frontispicio del Palacio Municipal</t>
  </si>
  <si>
    <t>3ra. Avenida 1-78, zona 1</t>
  </si>
  <si>
    <t>Fiscalía de Distrito del Ministerio Público</t>
  </si>
  <si>
    <t>1ra. Avenida 0-86, zona 1</t>
  </si>
  <si>
    <t xml:space="preserve">Instalaciones de Procuraduría General de la Nación </t>
  </si>
  <si>
    <t>Mataquescuintla</t>
  </si>
  <si>
    <t>municipio de Mataquescuintla</t>
  </si>
  <si>
    <t>Aldea Las Azucenas</t>
  </si>
  <si>
    <t>2da. Calle "A" final, 9-74, Barrio La Democracia, zona 1</t>
  </si>
  <si>
    <t>Restaurante Romita</t>
  </si>
  <si>
    <t>Cobán</t>
  </si>
  <si>
    <t>19 Calle 3-2 zona 10, Barrio la Libertad.</t>
  </si>
  <si>
    <t xml:space="preserve">Asociación de Servicios Comunitarios de la Salud - ASECSA-. </t>
  </si>
  <si>
    <t>2da. Avenida 5-33 zona 7, Residenciales Imperial</t>
  </si>
  <si>
    <t>Procuraduría General de la Nación</t>
  </si>
  <si>
    <t>7ma. Avenida 2-18 B, Avenida El Calvario Edificio Mansión Armenia, Zona 2</t>
  </si>
  <si>
    <t xml:space="preserve">Comisión Presidencial contra la Discriminación y el Racismo -CODISRA-. </t>
  </si>
  <si>
    <t>11 Avenida "A" 11-10, zona 1</t>
  </si>
  <si>
    <t>Defensoría de la Mujer Indígena</t>
  </si>
  <si>
    <t>5ta. Avenida 1-64, zona 4</t>
  </si>
  <si>
    <t xml:space="preserve">Juzgado de Niñez, Adolescencia y Adolescentes en Conflicto con la Ley Penal. -JNACLP-. </t>
  </si>
  <si>
    <t>3ra. Calle 7-07, zona 3</t>
  </si>
  <si>
    <t xml:space="preserve">Colegio Bilingüe de Infantes -CBI-. </t>
  </si>
  <si>
    <t>1ra. Calle 1-11, zona 1</t>
  </si>
  <si>
    <t>Dirección Municipal de la Mujer -DMM-</t>
  </si>
  <si>
    <t>10. Avenida, 10-4, zona 1</t>
  </si>
  <si>
    <t xml:space="preserve">Centro de Promoción Comunitaria Betania -CECOPROBE-. </t>
  </si>
  <si>
    <t>3ra. Calle 8-43, zona 3</t>
  </si>
  <si>
    <t>Secretaría de Bienestar Social -SBS-</t>
  </si>
  <si>
    <t>10ma. Avenida 5-01, zona 1</t>
  </si>
  <si>
    <t xml:space="preserve">Juzgado de Primera Instancia Penal de Delitos de Femicidio y Otras formas de Violencia contra la Mujer y Violencia Sexual. </t>
  </si>
  <si>
    <t>6ta. Avenida y 2da calle, zona 1</t>
  </si>
  <si>
    <t>Programa Especial Protección de Estudiantes Víctimas de Violencia -PROESVI-.</t>
  </si>
  <si>
    <t>3ra. Calle 5-12, zona 1.</t>
  </si>
  <si>
    <t xml:space="preserve">Fiscalía de la Niñez y Adolescencia. </t>
  </si>
  <si>
    <t>Aldea San Andrés Chicar</t>
  </si>
  <si>
    <t>Comisión Comunitaria para la Prevención -COCOPRE-</t>
  </si>
  <si>
    <t>KM. 217, Ruta a San Juan Chamelco</t>
  </si>
  <si>
    <t>Cooperativa Chirrepec, R.L. Cobán Alta Verapaz.</t>
  </si>
  <si>
    <t xml:space="preserve">San Pedro Carchá </t>
  </si>
  <si>
    <t>Aldea Caquigual</t>
  </si>
  <si>
    <t>10ma. Avenida 5-01, zona 3</t>
  </si>
  <si>
    <t xml:space="preserve">Tribunal de Sentencia Penal de Delitos de Femicidio y Otras Formas de Violencia contra la Mujer y Violencia Sexual. </t>
  </si>
  <si>
    <t xml:space="preserve">4ta. Calle 1-72 zona 3 </t>
  </si>
  <si>
    <t xml:space="preserve">Asociación de Amigos del Desarrollo y la Paz -ADP-. </t>
  </si>
  <si>
    <t>Santa María Ixhuatán</t>
  </si>
  <si>
    <t xml:space="preserve">1ra. Avenida Egreso, Cantón Buena Vista </t>
  </si>
  <si>
    <t>San Cristóbal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</si>
</sst>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1" xfId="0" applyBorder="1"/>
    <xf numFmtId="0" fontId="0" fillId="0" borderId="2" xfId="0" applyBorder="1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vertical="top"/>
    </xf>
    <xf numFmtId="0" fontId="2" fillId="2" borderId="3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/>
    <xf numFmtId="0" fontId="5" fillId="0" borderId="1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9" xfId="0" applyBorder="1"/>
    <xf numFmtId="0" fontId="6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/>
    </xf>
    <xf numFmtId="0" fontId="2" fillId="2" borderId="10" xfId="0" applyFont="1" applyFill="1" applyBorder="1" applyAlignment="1">
      <alignment horizontal="center" vertical="top" wrapText="1"/>
    </xf>
    <xf numFmtId="0" fontId="10" fillId="0" borderId="11" xfId="0" applyFont="1" applyBorder="1" applyAlignment="1">
      <alignment horizontal="left" wrapText="1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6" xfId="0" applyBorder="1" applyAlignment="1">
      <alignment wrapText="1"/>
    </xf>
    <xf numFmtId="0" fontId="10" fillId="0" borderId="18" xfId="0" applyFont="1" applyBorder="1" applyAlignment="1">
      <alignment horizontal="left" wrapText="1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10" fillId="0" borderId="19" xfId="0" applyFont="1" applyBorder="1" applyAlignment="1">
      <alignment horizontal="left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wrapText="1"/>
    </xf>
    <xf numFmtId="0" fontId="13" fillId="2" borderId="0" xfId="0" applyFont="1" applyFill="1" applyBorder="1" applyAlignment="1">
      <alignment vertical="top" wrapText="1"/>
    </xf>
    <xf numFmtId="0" fontId="12" fillId="2" borderId="0" xfId="0" applyFont="1" applyFill="1" applyAlignment="1">
      <alignment horizontal="left" wrapText="1"/>
    </xf>
    <xf numFmtId="0" fontId="12" fillId="2" borderId="0" xfId="0" applyFont="1" applyFill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wrapText="1"/>
    </xf>
    <xf numFmtId="0" fontId="12" fillId="2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512AE-5E6E-4180-AC74-FF3529C6F35A}">
  <dimension ref="A1:R90"/>
  <sheetViews>
    <sheetView tabSelected="1" workbookViewId="0">
      <selection sqref="A1:F1"/>
    </sheetView>
  </sheetViews>
  <sheetFormatPr baseColWidth="10" defaultRowHeight="15" x14ac:dyDescent="0.25"/>
  <cols>
    <col min="1" max="1" width="27.28515625" customWidth="1"/>
    <col min="17" max="17" width="15.140625" customWidth="1"/>
    <col min="18" max="18" width="30.42578125" customWidth="1"/>
  </cols>
  <sheetData>
    <row r="1" spans="1:18" x14ac:dyDescent="0.25">
      <c r="A1" s="73" t="s">
        <v>15</v>
      </c>
      <c r="B1" s="73"/>
      <c r="C1" s="73"/>
      <c r="D1" s="73"/>
      <c r="E1" s="73"/>
      <c r="F1" s="73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</row>
    <row r="2" spans="1:18" x14ac:dyDescent="0.25">
      <c r="A2" s="74" t="s">
        <v>6</v>
      </c>
      <c r="B2" s="74"/>
      <c r="C2" s="74"/>
      <c r="D2" s="74"/>
      <c r="E2" s="74"/>
      <c r="F2" s="7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</row>
    <row r="3" spans="1:18" x14ac:dyDescent="0.25">
      <c r="A3" s="65" t="s">
        <v>108</v>
      </c>
      <c r="B3" s="66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</row>
    <row r="4" spans="1:18" ht="48" x14ac:dyDescent="0.25">
      <c r="A4" s="67" t="s">
        <v>17</v>
      </c>
      <c r="B4" s="68" t="s">
        <v>10</v>
      </c>
      <c r="C4" s="68" t="s">
        <v>9</v>
      </c>
      <c r="D4" s="68" t="s">
        <v>8</v>
      </c>
      <c r="E4" s="68" t="s">
        <v>0</v>
      </c>
      <c r="F4" s="68" t="s">
        <v>18</v>
      </c>
      <c r="G4" s="68" t="s">
        <v>122</v>
      </c>
      <c r="H4" s="68" t="s">
        <v>1</v>
      </c>
      <c r="I4" s="68" t="s">
        <v>8</v>
      </c>
      <c r="J4" s="68" t="s">
        <v>2</v>
      </c>
      <c r="K4" s="68" t="s">
        <v>121</v>
      </c>
      <c r="L4" s="68" t="s">
        <v>19</v>
      </c>
      <c r="M4" s="68" t="s">
        <v>4</v>
      </c>
      <c r="N4" s="68" t="s">
        <v>8</v>
      </c>
      <c r="O4" s="68" t="s">
        <v>11</v>
      </c>
      <c r="P4" s="68" t="s">
        <v>12</v>
      </c>
      <c r="Q4" s="68" t="s">
        <v>13</v>
      </c>
      <c r="R4" s="68" t="s">
        <v>14</v>
      </c>
    </row>
    <row r="5" spans="1:18" ht="36" x14ac:dyDescent="0.25">
      <c r="A5" s="69" t="s">
        <v>123</v>
      </c>
      <c r="B5" s="67">
        <f>0+4+41+13</f>
        <v>58</v>
      </c>
      <c r="C5" s="67">
        <f>0+8+60+10</f>
        <v>78</v>
      </c>
      <c r="D5" s="67">
        <f>SUM(B5:C5)</f>
        <v>136</v>
      </c>
      <c r="E5" s="67">
        <f>0+0</f>
        <v>0</v>
      </c>
      <c r="F5" s="67">
        <f>4+8</f>
        <v>12</v>
      </c>
      <c r="G5" s="67">
        <f>41+60</f>
        <v>101</v>
      </c>
      <c r="H5" s="67">
        <f>13+10</f>
        <v>23</v>
      </c>
      <c r="I5" s="67">
        <f>SUM(E5:H5)</f>
        <v>136</v>
      </c>
      <c r="J5" s="67">
        <v>34</v>
      </c>
      <c r="K5" s="67">
        <v>2</v>
      </c>
      <c r="L5" s="67">
        <v>1</v>
      </c>
      <c r="M5" s="67">
        <v>99</v>
      </c>
      <c r="N5" s="67">
        <f>SUM(J5:M5)</f>
        <v>136</v>
      </c>
      <c r="O5" s="67" t="s">
        <v>23</v>
      </c>
      <c r="P5" s="67" t="s">
        <v>23</v>
      </c>
      <c r="Q5" s="67" t="s">
        <v>124</v>
      </c>
      <c r="R5" s="70" t="s">
        <v>125</v>
      </c>
    </row>
    <row r="6" spans="1:18" ht="24" x14ac:dyDescent="0.25">
      <c r="A6" s="69" t="s">
        <v>123</v>
      </c>
      <c r="B6" s="67">
        <f>0+0+3+0</f>
        <v>3</v>
      </c>
      <c r="C6" s="67">
        <f>0+1+2+0</f>
        <v>3</v>
      </c>
      <c r="D6" s="67">
        <f>SUM(B6:C6)</f>
        <v>6</v>
      </c>
      <c r="E6" s="67">
        <v>0</v>
      </c>
      <c r="F6" s="67">
        <v>1</v>
      </c>
      <c r="G6" s="67">
        <f>3+2</f>
        <v>5</v>
      </c>
      <c r="H6" s="67">
        <v>0</v>
      </c>
      <c r="I6" s="67">
        <f>SUM(E6:H6)</f>
        <v>6</v>
      </c>
      <c r="J6" s="67">
        <v>0</v>
      </c>
      <c r="K6" s="67">
        <v>0</v>
      </c>
      <c r="L6" s="67">
        <v>0</v>
      </c>
      <c r="M6" s="67">
        <v>6</v>
      </c>
      <c r="N6" s="67">
        <f>SUM(J6:M6)</f>
        <v>6</v>
      </c>
      <c r="O6" s="67" t="s">
        <v>22</v>
      </c>
      <c r="P6" s="67" t="s">
        <v>126</v>
      </c>
      <c r="Q6" s="67" t="s">
        <v>127</v>
      </c>
      <c r="R6" s="67" t="s">
        <v>128</v>
      </c>
    </row>
    <row r="7" spans="1:18" ht="24" x14ac:dyDescent="0.25">
      <c r="A7" s="69" t="s">
        <v>123</v>
      </c>
      <c r="B7" s="67">
        <v>70</v>
      </c>
      <c r="C7" s="67">
        <v>50</v>
      </c>
      <c r="D7" s="67">
        <f t="shared" ref="D7:D70" si="0">SUM(B7:C7)</f>
        <v>120</v>
      </c>
      <c r="E7" s="67">
        <f>70+50</f>
        <v>120</v>
      </c>
      <c r="F7" s="67">
        <v>0</v>
      </c>
      <c r="G7" s="67">
        <v>0</v>
      </c>
      <c r="H7" s="67">
        <v>0</v>
      </c>
      <c r="I7" s="67">
        <f t="shared" ref="I7:I73" si="1">SUM(E7:H7)</f>
        <v>120</v>
      </c>
      <c r="J7" s="67">
        <v>0</v>
      </c>
      <c r="K7" s="67">
        <v>0</v>
      </c>
      <c r="L7" s="67">
        <v>0</v>
      </c>
      <c r="M7" s="67">
        <v>120</v>
      </c>
      <c r="N7" s="67">
        <f t="shared" ref="N7:N70" si="2">SUM(J7:M7)</f>
        <v>120</v>
      </c>
      <c r="O7" s="67" t="s">
        <v>22</v>
      </c>
      <c r="P7" s="67" t="s">
        <v>22</v>
      </c>
      <c r="Q7" s="67" t="s">
        <v>129</v>
      </c>
      <c r="R7" s="67" t="s">
        <v>130</v>
      </c>
    </row>
    <row r="8" spans="1:18" ht="36" x14ac:dyDescent="0.25">
      <c r="A8" s="69" t="s">
        <v>123</v>
      </c>
      <c r="B8" s="67">
        <v>29</v>
      </c>
      <c r="C8" s="67">
        <v>121</v>
      </c>
      <c r="D8" s="67">
        <f t="shared" si="0"/>
        <v>150</v>
      </c>
      <c r="E8" s="67">
        <v>0</v>
      </c>
      <c r="F8" s="67">
        <v>0</v>
      </c>
      <c r="G8" s="67">
        <f>29+121</f>
        <v>150</v>
      </c>
      <c r="H8" s="67">
        <v>0</v>
      </c>
      <c r="I8" s="67">
        <f t="shared" si="1"/>
        <v>150</v>
      </c>
      <c r="J8" s="67">
        <v>0</v>
      </c>
      <c r="K8" s="67">
        <v>0</v>
      </c>
      <c r="L8" s="67">
        <v>0</v>
      </c>
      <c r="M8" s="67">
        <v>150</v>
      </c>
      <c r="N8" s="67">
        <f t="shared" si="2"/>
        <v>150</v>
      </c>
      <c r="O8" s="67" t="s">
        <v>22</v>
      </c>
      <c r="P8" s="67" t="s">
        <v>131</v>
      </c>
      <c r="Q8" s="67" t="s">
        <v>132</v>
      </c>
      <c r="R8" s="67" t="s">
        <v>133</v>
      </c>
    </row>
    <row r="9" spans="1:18" ht="24" x14ac:dyDescent="0.25">
      <c r="A9" s="69" t="s">
        <v>134</v>
      </c>
      <c r="B9" s="67">
        <v>30</v>
      </c>
      <c r="C9" s="67">
        <v>2</v>
      </c>
      <c r="D9" s="67">
        <f t="shared" si="0"/>
        <v>32</v>
      </c>
      <c r="E9" s="67">
        <v>0</v>
      </c>
      <c r="F9" s="67">
        <v>0</v>
      </c>
      <c r="G9" s="67">
        <f>30+2</f>
        <v>32</v>
      </c>
      <c r="H9" s="67">
        <v>0</v>
      </c>
      <c r="I9" s="67">
        <f t="shared" si="1"/>
        <v>32</v>
      </c>
      <c r="J9" s="67">
        <v>0</v>
      </c>
      <c r="K9" s="67">
        <v>0</v>
      </c>
      <c r="L9" s="67">
        <v>0</v>
      </c>
      <c r="M9" s="67">
        <v>32</v>
      </c>
      <c r="N9" s="67">
        <f t="shared" si="2"/>
        <v>32</v>
      </c>
      <c r="O9" s="67" t="s">
        <v>22</v>
      </c>
      <c r="P9" s="67" t="s">
        <v>135</v>
      </c>
      <c r="Q9" s="67" t="s">
        <v>136</v>
      </c>
      <c r="R9" s="67" t="s">
        <v>137</v>
      </c>
    </row>
    <row r="10" spans="1:18" ht="84" x14ac:dyDescent="0.25">
      <c r="A10" s="69" t="s">
        <v>123</v>
      </c>
      <c r="B10" s="67">
        <v>150</v>
      </c>
      <c r="C10" s="67">
        <v>150</v>
      </c>
      <c r="D10" s="67">
        <f t="shared" si="0"/>
        <v>300</v>
      </c>
      <c r="E10" s="67">
        <f>150+150</f>
        <v>300</v>
      </c>
      <c r="F10" s="67">
        <v>0</v>
      </c>
      <c r="G10" s="67">
        <v>0</v>
      </c>
      <c r="H10" s="67">
        <v>0</v>
      </c>
      <c r="I10" s="67">
        <f t="shared" si="1"/>
        <v>300</v>
      </c>
      <c r="J10" s="67">
        <v>0</v>
      </c>
      <c r="K10" s="67">
        <v>0</v>
      </c>
      <c r="L10" s="67">
        <v>0</v>
      </c>
      <c r="M10" s="67">
        <v>300</v>
      </c>
      <c r="N10" s="67">
        <f t="shared" si="2"/>
        <v>300</v>
      </c>
      <c r="O10" s="67" t="s">
        <v>22</v>
      </c>
      <c r="P10" s="67" t="s">
        <v>22</v>
      </c>
      <c r="Q10" s="67" t="s">
        <v>138</v>
      </c>
      <c r="R10" s="67" t="s">
        <v>139</v>
      </c>
    </row>
    <row r="11" spans="1:18" ht="36" x14ac:dyDescent="0.25">
      <c r="A11" s="69" t="s">
        <v>134</v>
      </c>
      <c r="B11" s="67">
        <v>48</v>
      </c>
      <c r="C11" s="67">
        <v>61</v>
      </c>
      <c r="D11" s="67">
        <f t="shared" si="0"/>
        <v>109</v>
      </c>
      <c r="E11" s="67">
        <f>48+61</f>
        <v>109</v>
      </c>
      <c r="F11" s="67">
        <v>0</v>
      </c>
      <c r="G11" s="67">
        <v>0</v>
      </c>
      <c r="H11" s="67">
        <v>0</v>
      </c>
      <c r="I11" s="67">
        <f t="shared" si="1"/>
        <v>109</v>
      </c>
      <c r="J11" s="67">
        <v>0</v>
      </c>
      <c r="K11" s="67">
        <v>0</v>
      </c>
      <c r="L11" s="67">
        <v>0</v>
      </c>
      <c r="M11" s="67">
        <v>109</v>
      </c>
      <c r="N11" s="67">
        <f t="shared" si="2"/>
        <v>109</v>
      </c>
      <c r="O11" s="67" t="s">
        <v>22</v>
      </c>
      <c r="P11" s="67" t="s">
        <v>126</v>
      </c>
      <c r="Q11" s="67" t="s">
        <v>140</v>
      </c>
      <c r="R11" s="67" t="s">
        <v>141</v>
      </c>
    </row>
    <row r="12" spans="1:18" ht="60" x14ac:dyDescent="0.25">
      <c r="A12" s="69" t="s">
        <v>123</v>
      </c>
      <c r="B12" s="67">
        <v>38</v>
      </c>
      <c r="C12" s="67">
        <v>39</v>
      </c>
      <c r="D12" s="67">
        <f t="shared" si="0"/>
        <v>77</v>
      </c>
      <c r="E12" s="67">
        <v>0</v>
      </c>
      <c r="F12" s="67">
        <f>38+39</f>
        <v>77</v>
      </c>
      <c r="G12" s="67">
        <v>0</v>
      </c>
      <c r="H12" s="67">
        <v>0</v>
      </c>
      <c r="I12" s="67">
        <f t="shared" si="1"/>
        <v>77</v>
      </c>
      <c r="J12" s="67">
        <v>0</v>
      </c>
      <c r="K12" s="67">
        <v>0</v>
      </c>
      <c r="L12" s="67">
        <v>0</v>
      </c>
      <c r="M12" s="67">
        <v>77</v>
      </c>
      <c r="N12" s="67">
        <f t="shared" si="2"/>
        <v>77</v>
      </c>
      <c r="O12" s="67" t="s">
        <v>22</v>
      </c>
      <c r="P12" s="67" t="s">
        <v>126</v>
      </c>
      <c r="Q12" s="67" t="s">
        <v>142</v>
      </c>
      <c r="R12" s="67" t="s">
        <v>143</v>
      </c>
    </row>
    <row r="13" spans="1:18" ht="24" x14ac:dyDescent="0.25">
      <c r="A13" s="69" t="s">
        <v>123</v>
      </c>
      <c r="B13" s="67">
        <v>0</v>
      </c>
      <c r="C13" s="67">
        <v>1</v>
      </c>
      <c r="D13" s="67">
        <f t="shared" si="0"/>
        <v>1</v>
      </c>
      <c r="E13" s="67">
        <v>0</v>
      </c>
      <c r="F13" s="67">
        <v>1</v>
      </c>
      <c r="G13" s="67">
        <v>0</v>
      </c>
      <c r="H13" s="67">
        <v>0</v>
      </c>
      <c r="I13" s="67">
        <f t="shared" si="1"/>
        <v>1</v>
      </c>
      <c r="J13" s="67">
        <v>1</v>
      </c>
      <c r="K13" s="67">
        <v>0</v>
      </c>
      <c r="L13" s="67">
        <v>0</v>
      </c>
      <c r="M13" s="67">
        <v>0</v>
      </c>
      <c r="N13" s="67">
        <f t="shared" si="2"/>
        <v>1</v>
      </c>
      <c r="O13" s="67" t="s">
        <v>21</v>
      </c>
      <c r="P13" s="67" t="s">
        <v>144</v>
      </c>
      <c r="Q13" s="67" t="s">
        <v>145</v>
      </c>
      <c r="R13" s="70" t="s">
        <v>146</v>
      </c>
    </row>
    <row r="14" spans="1:18" ht="24" x14ac:dyDescent="0.25">
      <c r="A14" s="69" t="s">
        <v>123</v>
      </c>
      <c r="B14" s="67">
        <v>0</v>
      </c>
      <c r="C14" s="67">
        <v>1</v>
      </c>
      <c r="D14" s="67">
        <f t="shared" si="0"/>
        <v>1</v>
      </c>
      <c r="E14" s="67">
        <v>0</v>
      </c>
      <c r="F14" s="67">
        <v>0</v>
      </c>
      <c r="G14" s="67">
        <v>1</v>
      </c>
      <c r="H14" s="67">
        <v>0</v>
      </c>
      <c r="I14" s="67">
        <f t="shared" si="1"/>
        <v>1</v>
      </c>
      <c r="J14" s="67">
        <v>1</v>
      </c>
      <c r="K14" s="67">
        <v>0</v>
      </c>
      <c r="L14" s="67">
        <v>0</v>
      </c>
      <c r="M14" s="67">
        <v>0</v>
      </c>
      <c r="N14" s="67">
        <f t="shared" si="2"/>
        <v>1</v>
      </c>
      <c r="O14" s="67" t="s">
        <v>21</v>
      </c>
      <c r="P14" s="67" t="s">
        <v>144</v>
      </c>
      <c r="Q14" s="67" t="s">
        <v>147</v>
      </c>
      <c r="R14" s="67" t="s">
        <v>148</v>
      </c>
    </row>
    <row r="15" spans="1:18" ht="24" x14ac:dyDescent="0.25">
      <c r="A15" s="69" t="s">
        <v>123</v>
      </c>
      <c r="B15" s="67">
        <v>0</v>
      </c>
      <c r="C15" s="67">
        <v>1</v>
      </c>
      <c r="D15" s="67">
        <f t="shared" si="0"/>
        <v>1</v>
      </c>
      <c r="E15" s="67">
        <v>0</v>
      </c>
      <c r="F15" s="67">
        <v>0</v>
      </c>
      <c r="G15" s="67">
        <v>1</v>
      </c>
      <c r="H15" s="67">
        <v>0</v>
      </c>
      <c r="I15" s="67">
        <f t="shared" si="1"/>
        <v>1</v>
      </c>
      <c r="J15" s="67">
        <v>0</v>
      </c>
      <c r="K15" s="67">
        <v>0</v>
      </c>
      <c r="L15" s="67">
        <v>0</v>
      </c>
      <c r="M15" s="67">
        <v>1</v>
      </c>
      <c r="N15" s="67">
        <f t="shared" si="2"/>
        <v>1</v>
      </c>
      <c r="O15" s="67" t="s">
        <v>21</v>
      </c>
      <c r="P15" s="67" t="s">
        <v>144</v>
      </c>
      <c r="Q15" s="67" t="s">
        <v>149</v>
      </c>
      <c r="R15" s="67" t="s">
        <v>150</v>
      </c>
    </row>
    <row r="16" spans="1:18" ht="36" x14ac:dyDescent="0.25">
      <c r="A16" s="69" t="s">
        <v>134</v>
      </c>
      <c r="B16" s="67">
        <v>25</v>
      </c>
      <c r="C16" s="67">
        <v>25</v>
      </c>
      <c r="D16" s="67">
        <f t="shared" si="0"/>
        <v>50</v>
      </c>
      <c r="E16" s="67">
        <f>25+25</f>
        <v>50</v>
      </c>
      <c r="F16" s="67">
        <v>0</v>
      </c>
      <c r="G16" s="67">
        <v>0</v>
      </c>
      <c r="H16" s="67">
        <v>0</v>
      </c>
      <c r="I16" s="67">
        <f t="shared" si="1"/>
        <v>50</v>
      </c>
      <c r="J16" s="67">
        <v>32</v>
      </c>
      <c r="K16" s="67">
        <v>0</v>
      </c>
      <c r="L16" s="67">
        <v>0</v>
      </c>
      <c r="M16" s="67">
        <v>18</v>
      </c>
      <c r="N16" s="67">
        <f t="shared" si="2"/>
        <v>50</v>
      </c>
      <c r="O16" s="67" t="s">
        <v>21</v>
      </c>
      <c r="P16" s="67" t="s">
        <v>21</v>
      </c>
      <c r="Q16" s="67" t="s">
        <v>151</v>
      </c>
      <c r="R16" s="67" t="s">
        <v>152</v>
      </c>
    </row>
    <row r="17" spans="1:18" ht="36" x14ac:dyDescent="0.25">
      <c r="A17" s="69" t="s">
        <v>134</v>
      </c>
      <c r="B17" s="67">
        <v>18</v>
      </c>
      <c r="C17" s="67">
        <v>32</v>
      </c>
      <c r="D17" s="67">
        <f t="shared" si="0"/>
        <v>50</v>
      </c>
      <c r="E17" s="67">
        <f>18+32</f>
        <v>50</v>
      </c>
      <c r="F17" s="67">
        <v>0</v>
      </c>
      <c r="G17" s="67">
        <v>0</v>
      </c>
      <c r="H17" s="67">
        <v>0</v>
      </c>
      <c r="I17" s="67">
        <f t="shared" si="1"/>
        <v>50</v>
      </c>
      <c r="J17" s="67">
        <v>24</v>
      </c>
      <c r="K17" s="67">
        <v>0</v>
      </c>
      <c r="L17" s="67">
        <v>0</v>
      </c>
      <c r="M17" s="67">
        <v>26</v>
      </c>
      <c r="N17" s="67">
        <f t="shared" si="2"/>
        <v>50</v>
      </c>
      <c r="O17" s="67" t="s">
        <v>21</v>
      </c>
      <c r="P17" s="67" t="s">
        <v>21</v>
      </c>
      <c r="Q17" s="67" t="s">
        <v>151</v>
      </c>
      <c r="R17" s="67" t="s">
        <v>153</v>
      </c>
    </row>
    <row r="18" spans="1:18" ht="36" x14ac:dyDescent="0.25">
      <c r="A18" s="69" t="s">
        <v>134</v>
      </c>
      <c r="B18" s="67">
        <v>18</v>
      </c>
      <c r="C18" s="67">
        <v>182</v>
      </c>
      <c r="D18" s="67">
        <f t="shared" si="0"/>
        <v>200</v>
      </c>
      <c r="E18" s="67">
        <v>0</v>
      </c>
      <c r="F18" s="67">
        <v>0</v>
      </c>
      <c r="G18" s="67">
        <f>18+182</f>
        <v>200</v>
      </c>
      <c r="H18" s="67">
        <v>0</v>
      </c>
      <c r="I18" s="67">
        <f t="shared" si="1"/>
        <v>200</v>
      </c>
      <c r="J18" s="67">
        <v>104</v>
      </c>
      <c r="K18" s="67">
        <v>0</v>
      </c>
      <c r="L18" s="67">
        <v>0</v>
      </c>
      <c r="M18" s="67">
        <v>96</v>
      </c>
      <c r="N18" s="67">
        <f t="shared" si="2"/>
        <v>200</v>
      </c>
      <c r="O18" s="67" t="s">
        <v>21</v>
      </c>
      <c r="P18" s="67" t="s">
        <v>21</v>
      </c>
      <c r="Q18" s="67" t="s">
        <v>154</v>
      </c>
      <c r="R18" s="67" t="s">
        <v>155</v>
      </c>
    </row>
    <row r="19" spans="1:18" ht="36" x14ac:dyDescent="0.25">
      <c r="A19" s="69" t="s">
        <v>123</v>
      </c>
      <c r="B19" s="67">
        <v>22</v>
      </c>
      <c r="C19" s="67">
        <v>91</v>
      </c>
      <c r="D19" s="67">
        <f t="shared" si="0"/>
        <v>113</v>
      </c>
      <c r="E19" s="67">
        <v>0</v>
      </c>
      <c r="F19" s="67">
        <v>0</v>
      </c>
      <c r="G19" s="67">
        <f>22+91</f>
        <v>113</v>
      </c>
      <c r="H19" s="67">
        <v>0</v>
      </c>
      <c r="I19" s="67">
        <f t="shared" si="1"/>
        <v>113</v>
      </c>
      <c r="J19" s="67">
        <v>0</v>
      </c>
      <c r="K19" s="67">
        <v>0</v>
      </c>
      <c r="L19" s="67">
        <v>0</v>
      </c>
      <c r="M19" s="67">
        <v>113</v>
      </c>
      <c r="N19" s="67">
        <f t="shared" si="2"/>
        <v>113</v>
      </c>
      <c r="O19" s="67" t="s">
        <v>24</v>
      </c>
      <c r="P19" s="67" t="s">
        <v>24</v>
      </c>
      <c r="Q19" s="67" t="s">
        <v>156</v>
      </c>
      <c r="R19" s="67" t="s">
        <v>157</v>
      </c>
    </row>
    <row r="20" spans="1:18" ht="24" x14ac:dyDescent="0.25">
      <c r="A20" s="69" t="s">
        <v>134</v>
      </c>
      <c r="B20" s="67">
        <v>0</v>
      </c>
      <c r="C20" s="67">
        <f>4+15+1</f>
        <v>20</v>
      </c>
      <c r="D20" s="67">
        <f t="shared" si="0"/>
        <v>20</v>
      </c>
      <c r="E20" s="67">
        <v>0</v>
      </c>
      <c r="F20" s="67">
        <v>4</v>
      </c>
      <c r="G20" s="67">
        <v>15</v>
      </c>
      <c r="H20" s="67">
        <v>1</v>
      </c>
      <c r="I20" s="67">
        <f t="shared" si="1"/>
        <v>20</v>
      </c>
      <c r="J20" s="67">
        <v>0</v>
      </c>
      <c r="K20" s="67">
        <v>0</v>
      </c>
      <c r="L20" s="67">
        <v>0</v>
      </c>
      <c r="M20" s="67">
        <v>20</v>
      </c>
      <c r="N20" s="67">
        <f t="shared" si="2"/>
        <v>20</v>
      </c>
      <c r="O20" s="67" t="s">
        <v>24</v>
      </c>
      <c r="P20" s="67" t="s">
        <v>158</v>
      </c>
      <c r="Q20" s="67" t="s">
        <v>159</v>
      </c>
      <c r="R20" s="67" t="s">
        <v>159</v>
      </c>
    </row>
    <row r="21" spans="1:18" ht="48" x14ac:dyDescent="0.25">
      <c r="A21" s="69" t="s">
        <v>134</v>
      </c>
      <c r="B21" s="67">
        <v>0</v>
      </c>
      <c r="C21" s="67">
        <f>11+21</f>
        <v>32</v>
      </c>
      <c r="D21" s="67">
        <f t="shared" si="0"/>
        <v>32</v>
      </c>
      <c r="E21" s="67">
        <v>0</v>
      </c>
      <c r="F21" s="67">
        <v>11</v>
      </c>
      <c r="G21" s="67">
        <v>21</v>
      </c>
      <c r="H21" s="67">
        <v>0</v>
      </c>
      <c r="I21" s="67">
        <f t="shared" si="1"/>
        <v>32</v>
      </c>
      <c r="J21" s="67">
        <v>0</v>
      </c>
      <c r="K21" s="67">
        <v>0</v>
      </c>
      <c r="L21" s="67">
        <v>0</v>
      </c>
      <c r="M21" s="67">
        <v>32</v>
      </c>
      <c r="N21" s="67">
        <f t="shared" si="2"/>
        <v>32</v>
      </c>
      <c r="O21" s="67" t="s">
        <v>24</v>
      </c>
      <c r="P21" s="67" t="s">
        <v>160</v>
      </c>
      <c r="Q21" s="67" t="s">
        <v>161</v>
      </c>
      <c r="R21" s="67" t="s">
        <v>157</v>
      </c>
    </row>
    <row r="22" spans="1:18" ht="24" x14ac:dyDescent="0.25">
      <c r="A22" s="69" t="s">
        <v>134</v>
      </c>
      <c r="B22" s="71">
        <f>1+9+1</f>
        <v>11</v>
      </c>
      <c r="C22" s="71">
        <f>10+31+1</f>
        <v>42</v>
      </c>
      <c r="D22" s="67">
        <f t="shared" si="0"/>
        <v>53</v>
      </c>
      <c r="E22" s="71">
        <v>0</v>
      </c>
      <c r="F22" s="71">
        <f>1+10</f>
        <v>11</v>
      </c>
      <c r="G22" s="71">
        <f>9+31</f>
        <v>40</v>
      </c>
      <c r="H22" s="71">
        <f>1+1</f>
        <v>2</v>
      </c>
      <c r="I22" s="67">
        <f t="shared" si="1"/>
        <v>53</v>
      </c>
      <c r="J22" s="71">
        <v>0</v>
      </c>
      <c r="K22" s="71">
        <v>0</v>
      </c>
      <c r="L22" s="71">
        <v>0</v>
      </c>
      <c r="M22" s="71">
        <v>53</v>
      </c>
      <c r="N22" s="67">
        <f t="shared" si="2"/>
        <v>53</v>
      </c>
      <c r="O22" s="67" t="s">
        <v>114</v>
      </c>
      <c r="P22" s="67" t="s">
        <v>117</v>
      </c>
      <c r="Q22" s="67" t="s">
        <v>162</v>
      </c>
      <c r="R22" s="67" t="s">
        <v>163</v>
      </c>
    </row>
    <row r="23" spans="1:18" ht="24" x14ac:dyDescent="0.25">
      <c r="A23" s="69" t="s">
        <v>134</v>
      </c>
      <c r="B23" s="67">
        <f>1+5</f>
        <v>6</v>
      </c>
      <c r="C23" s="67">
        <f>1+4</f>
        <v>5</v>
      </c>
      <c r="D23" s="67">
        <f t="shared" si="0"/>
        <v>11</v>
      </c>
      <c r="E23" s="67">
        <v>0</v>
      </c>
      <c r="F23" s="67">
        <f>1+1</f>
        <v>2</v>
      </c>
      <c r="G23" s="67">
        <f>5+4</f>
        <v>9</v>
      </c>
      <c r="H23" s="67">
        <v>0</v>
      </c>
      <c r="I23" s="67">
        <f t="shared" si="1"/>
        <v>11</v>
      </c>
      <c r="J23" s="67">
        <v>0</v>
      </c>
      <c r="K23" s="67">
        <v>0</v>
      </c>
      <c r="L23" s="67">
        <v>4</v>
      </c>
      <c r="M23" s="67">
        <v>7</v>
      </c>
      <c r="N23" s="67">
        <f t="shared" si="2"/>
        <v>11</v>
      </c>
      <c r="O23" s="67" t="s">
        <v>114</v>
      </c>
      <c r="P23" s="67" t="s">
        <v>57</v>
      </c>
      <c r="Q23" s="67" t="s">
        <v>164</v>
      </c>
      <c r="R23" s="67" t="s">
        <v>165</v>
      </c>
    </row>
    <row r="24" spans="1:18" ht="36" x14ac:dyDescent="0.25">
      <c r="A24" s="69" t="s">
        <v>134</v>
      </c>
      <c r="B24" s="67">
        <f>10+13</f>
        <v>23</v>
      </c>
      <c r="C24" s="67">
        <f>7+14+1</f>
        <v>22</v>
      </c>
      <c r="D24" s="67">
        <f t="shared" si="0"/>
        <v>45</v>
      </c>
      <c r="E24" s="67">
        <f>10+7</f>
        <v>17</v>
      </c>
      <c r="F24" s="67">
        <f>13+14</f>
        <v>27</v>
      </c>
      <c r="G24" s="67">
        <v>1</v>
      </c>
      <c r="H24" s="67">
        <v>0</v>
      </c>
      <c r="I24" s="67">
        <f t="shared" si="1"/>
        <v>45</v>
      </c>
      <c r="J24" s="67">
        <v>1</v>
      </c>
      <c r="K24" s="67">
        <v>0</v>
      </c>
      <c r="L24" s="67">
        <v>2</v>
      </c>
      <c r="M24" s="67">
        <v>42</v>
      </c>
      <c r="N24" s="67">
        <f t="shared" si="2"/>
        <v>45</v>
      </c>
      <c r="O24" s="67" t="s">
        <v>114</v>
      </c>
      <c r="P24" s="67" t="s">
        <v>57</v>
      </c>
      <c r="Q24" s="67" t="s">
        <v>166</v>
      </c>
      <c r="R24" s="67" t="s">
        <v>167</v>
      </c>
    </row>
    <row r="25" spans="1:18" ht="36" x14ac:dyDescent="0.25">
      <c r="A25" s="69" t="s">
        <v>134</v>
      </c>
      <c r="B25" s="67">
        <f>21+0</f>
        <v>21</v>
      </c>
      <c r="C25" s="67">
        <f>31+2</f>
        <v>33</v>
      </c>
      <c r="D25" s="67">
        <f t="shared" si="0"/>
        <v>54</v>
      </c>
      <c r="E25" s="67">
        <v>0</v>
      </c>
      <c r="F25" s="67">
        <f>21+31</f>
        <v>52</v>
      </c>
      <c r="G25" s="67">
        <f>0+2</f>
        <v>2</v>
      </c>
      <c r="H25" s="67">
        <v>0</v>
      </c>
      <c r="I25" s="67">
        <f t="shared" si="1"/>
        <v>54</v>
      </c>
      <c r="J25" s="67">
        <v>2</v>
      </c>
      <c r="K25" s="67">
        <v>0</v>
      </c>
      <c r="L25" s="67">
        <v>2</v>
      </c>
      <c r="M25" s="67">
        <v>50</v>
      </c>
      <c r="N25" s="67">
        <f t="shared" si="2"/>
        <v>54</v>
      </c>
      <c r="O25" s="67" t="s">
        <v>114</v>
      </c>
      <c r="P25" s="67" t="s">
        <v>57</v>
      </c>
      <c r="Q25" s="67" t="s">
        <v>166</v>
      </c>
      <c r="R25" s="67" t="s">
        <v>167</v>
      </c>
    </row>
    <row r="26" spans="1:18" ht="36" x14ac:dyDescent="0.25">
      <c r="A26" s="69" t="s">
        <v>134</v>
      </c>
      <c r="B26" s="67">
        <f>30+0</f>
        <v>30</v>
      </c>
      <c r="C26" s="67">
        <f>31+1</f>
        <v>32</v>
      </c>
      <c r="D26" s="67">
        <f t="shared" si="0"/>
        <v>62</v>
      </c>
      <c r="E26" s="67">
        <v>0</v>
      </c>
      <c r="F26" s="67">
        <f>30+31</f>
        <v>61</v>
      </c>
      <c r="G26" s="67">
        <f>0+1</f>
        <v>1</v>
      </c>
      <c r="H26" s="67">
        <v>0</v>
      </c>
      <c r="I26" s="67">
        <f t="shared" si="1"/>
        <v>62</v>
      </c>
      <c r="J26" s="67">
        <v>0</v>
      </c>
      <c r="K26" s="67">
        <f>30+31</f>
        <v>61</v>
      </c>
      <c r="L26" s="67">
        <f>0+1</f>
        <v>1</v>
      </c>
      <c r="M26" s="67">
        <v>0</v>
      </c>
      <c r="N26" s="67">
        <f t="shared" si="2"/>
        <v>62</v>
      </c>
      <c r="O26" s="67" t="s">
        <v>114</v>
      </c>
      <c r="P26" s="67" t="s">
        <v>57</v>
      </c>
      <c r="Q26" s="67" t="s">
        <v>166</v>
      </c>
      <c r="R26" s="67" t="s">
        <v>167</v>
      </c>
    </row>
    <row r="27" spans="1:18" ht="36" x14ac:dyDescent="0.25">
      <c r="A27" s="69" t="s">
        <v>134</v>
      </c>
      <c r="B27" s="67">
        <f>77+1</f>
        <v>78</v>
      </c>
      <c r="C27" s="67">
        <f>61+11</f>
        <v>72</v>
      </c>
      <c r="D27" s="67">
        <f t="shared" si="0"/>
        <v>150</v>
      </c>
      <c r="E27" s="67">
        <f>77+61</f>
        <v>138</v>
      </c>
      <c r="F27" s="67">
        <v>0</v>
      </c>
      <c r="G27" s="67">
        <f>1+11</f>
        <v>12</v>
      </c>
      <c r="H27" s="67">
        <v>0</v>
      </c>
      <c r="I27" s="67">
        <f t="shared" si="1"/>
        <v>150</v>
      </c>
      <c r="J27" s="67">
        <v>0</v>
      </c>
      <c r="K27" s="67">
        <v>0</v>
      </c>
      <c r="L27" s="67">
        <v>0</v>
      </c>
      <c r="M27" s="67">
        <v>150</v>
      </c>
      <c r="N27" s="67">
        <f t="shared" si="2"/>
        <v>150</v>
      </c>
      <c r="O27" s="67" t="s">
        <v>114</v>
      </c>
      <c r="P27" s="67" t="s">
        <v>57</v>
      </c>
      <c r="Q27" s="67" t="s">
        <v>168</v>
      </c>
      <c r="R27" s="67" t="s">
        <v>169</v>
      </c>
    </row>
    <row r="28" spans="1:18" ht="24" x14ac:dyDescent="0.25">
      <c r="A28" s="69" t="s">
        <v>134</v>
      </c>
      <c r="B28" s="67">
        <f>50+1</f>
        <v>51</v>
      </c>
      <c r="C28" s="67">
        <f>51+5</f>
        <v>56</v>
      </c>
      <c r="D28" s="67">
        <f t="shared" si="0"/>
        <v>107</v>
      </c>
      <c r="E28" s="67">
        <f>50+51</f>
        <v>101</v>
      </c>
      <c r="F28" s="67">
        <v>0</v>
      </c>
      <c r="G28" s="67">
        <f>1+5</f>
        <v>6</v>
      </c>
      <c r="H28" s="67">
        <v>0</v>
      </c>
      <c r="I28" s="67">
        <f t="shared" si="1"/>
        <v>107</v>
      </c>
      <c r="J28" s="67">
        <v>0</v>
      </c>
      <c r="K28" s="67">
        <v>0</v>
      </c>
      <c r="L28" s="67">
        <v>0</v>
      </c>
      <c r="M28" s="67">
        <v>107</v>
      </c>
      <c r="N28" s="67">
        <f t="shared" si="2"/>
        <v>107</v>
      </c>
      <c r="O28" s="67" t="s">
        <v>114</v>
      </c>
      <c r="P28" s="67" t="s">
        <v>57</v>
      </c>
      <c r="Q28" s="67" t="s">
        <v>170</v>
      </c>
      <c r="R28" s="67" t="s">
        <v>171</v>
      </c>
    </row>
    <row r="29" spans="1:18" ht="72" x14ac:dyDescent="0.25">
      <c r="A29" s="69" t="s">
        <v>123</v>
      </c>
      <c r="B29" s="67">
        <f>10+6</f>
        <v>16</v>
      </c>
      <c r="C29" s="67">
        <v>23</v>
      </c>
      <c r="D29" s="67">
        <f t="shared" si="0"/>
        <v>39</v>
      </c>
      <c r="E29" s="67">
        <v>0</v>
      </c>
      <c r="F29" s="67">
        <v>0</v>
      </c>
      <c r="G29" s="67">
        <f>10+23</f>
        <v>33</v>
      </c>
      <c r="H29" s="67">
        <v>6</v>
      </c>
      <c r="I29" s="67">
        <f t="shared" si="1"/>
        <v>39</v>
      </c>
      <c r="J29" s="67">
        <v>0</v>
      </c>
      <c r="K29" s="67">
        <v>0</v>
      </c>
      <c r="L29" s="67">
        <v>2</v>
      </c>
      <c r="M29" s="67">
        <v>37</v>
      </c>
      <c r="N29" s="67">
        <f t="shared" si="2"/>
        <v>39</v>
      </c>
      <c r="O29" s="67" t="s">
        <v>114</v>
      </c>
      <c r="P29" s="67" t="s">
        <v>57</v>
      </c>
      <c r="Q29" s="67" t="s">
        <v>172</v>
      </c>
      <c r="R29" s="67" t="s">
        <v>173</v>
      </c>
    </row>
    <row r="30" spans="1:18" ht="24" x14ac:dyDescent="0.25">
      <c r="A30" s="69" t="s">
        <v>123</v>
      </c>
      <c r="B30" s="67">
        <f>121+8</f>
        <v>129</v>
      </c>
      <c r="C30" s="67">
        <f>135+8</f>
        <v>143</v>
      </c>
      <c r="D30" s="67">
        <f t="shared" si="0"/>
        <v>272</v>
      </c>
      <c r="E30" s="67">
        <v>0</v>
      </c>
      <c r="F30" s="67">
        <f>121+135</f>
        <v>256</v>
      </c>
      <c r="G30" s="67">
        <f>8+8</f>
        <v>16</v>
      </c>
      <c r="H30" s="67">
        <v>0</v>
      </c>
      <c r="I30" s="67">
        <f t="shared" si="1"/>
        <v>272</v>
      </c>
      <c r="J30" s="67">
        <v>0</v>
      </c>
      <c r="K30" s="67">
        <v>0</v>
      </c>
      <c r="L30" s="67">
        <v>6</v>
      </c>
      <c r="M30" s="67">
        <v>266</v>
      </c>
      <c r="N30" s="67">
        <f t="shared" si="2"/>
        <v>272</v>
      </c>
      <c r="O30" s="67" t="s">
        <v>114</v>
      </c>
      <c r="P30" s="67" t="s">
        <v>57</v>
      </c>
      <c r="Q30" s="67" t="s">
        <v>174</v>
      </c>
      <c r="R30" s="67" t="s">
        <v>175</v>
      </c>
    </row>
    <row r="31" spans="1:18" ht="48" x14ac:dyDescent="0.25">
      <c r="A31" s="69" t="s">
        <v>123</v>
      </c>
      <c r="B31" s="67">
        <f>4+1+7+2</f>
        <v>14</v>
      </c>
      <c r="C31" s="67">
        <f>2+2+41+9</f>
        <v>54</v>
      </c>
      <c r="D31" s="67">
        <f t="shared" si="0"/>
        <v>68</v>
      </c>
      <c r="E31" s="67">
        <f>4+2</f>
        <v>6</v>
      </c>
      <c r="F31" s="67">
        <f>1+2</f>
        <v>3</v>
      </c>
      <c r="G31" s="67">
        <f>7+41</f>
        <v>48</v>
      </c>
      <c r="H31" s="67">
        <f>2+9</f>
        <v>11</v>
      </c>
      <c r="I31" s="67">
        <f t="shared" si="1"/>
        <v>68</v>
      </c>
      <c r="J31" s="67">
        <v>2</v>
      </c>
      <c r="K31" s="67">
        <v>0</v>
      </c>
      <c r="L31" s="67">
        <v>14</v>
      </c>
      <c r="M31" s="67">
        <v>52</v>
      </c>
      <c r="N31" s="67">
        <f t="shared" si="2"/>
        <v>68</v>
      </c>
      <c r="O31" s="67" t="s">
        <v>114</v>
      </c>
      <c r="P31" s="67" t="s">
        <v>57</v>
      </c>
      <c r="Q31" s="67" t="s">
        <v>176</v>
      </c>
      <c r="R31" s="67" t="s">
        <v>177</v>
      </c>
    </row>
    <row r="32" spans="1:18" ht="36" x14ac:dyDescent="0.25">
      <c r="A32" s="69" t="s">
        <v>123</v>
      </c>
      <c r="B32" s="67">
        <v>5</v>
      </c>
      <c r="C32" s="67">
        <f>9+39</f>
        <v>48</v>
      </c>
      <c r="D32" s="67">
        <f t="shared" si="0"/>
        <v>53</v>
      </c>
      <c r="E32" s="67">
        <v>0</v>
      </c>
      <c r="F32" s="67">
        <f>0+9</f>
        <v>9</v>
      </c>
      <c r="G32" s="67">
        <f>5+39</f>
        <v>44</v>
      </c>
      <c r="H32" s="67">
        <v>0</v>
      </c>
      <c r="I32" s="67">
        <f t="shared" si="1"/>
        <v>53</v>
      </c>
      <c r="J32" s="67">
        <v>0</v>
      </c>
      <c r="K32" s="67">
        <v>0</v>
      </c>
      <c r="L32" s="67">
        <v>1</v>
      </c>
      <c r="M32" s="67">
        <v>52</v>
      </c>
      <c r="N32" s="67">
        <f t="shared" si="2"/>
        <v>53</v>
      </c>
      <c r="O32" s="67" t="s">
        <v>114</v>
      </c>
      <c r="P32" s="67" t="s">
        <v>57</v>
      </c>
      <c r="Q32" s="67" t="s">
        <v>168</v>
      </c>
      <c r="R32" s="67" t="s">
        <v>171</v>
      </c>
    </row>
    <row r="33" spans="1:18" ht="24" x14ac:dyDescent="0.25">
      <c r="A33" s="69" t="s">
        <v>123</v>
      </c>
      <c r="B33" s="67">
        <v>43</v>
      </c>
      <c r="C33" s="67">
        <v>51</v>
      </c>
      <c r="D33" s="67">
        <f t="shared" si="0"/>
        <v>94</v>
      </c>
      <c r="E33" s="67">
        <f>43+51</f>
        <v>94</v>
      </c>
      <c r="F33" s="67">
        <v>0</v>
      </c>
      <c r="G33" s="67">
        <v>0</v>
      </c>
      <c r="H33" s="67">
        <v>0</v>
      </c>
      <c r="I33" s="67">
        <f t="shared" si="1"/>
        <v>94</v>
      </c>
      <c r="J33" s="67">
        <v>0</v>
      </c>
      <c r="K33" s="67">
        <v>0</v>
      </c>
      <c r="L33" s="67">
        <v>0</v>
      </c>
      <c r="M33" s="67">
        <v>94</v>
      </c>
      <c r="N33" s="67">
        <f t="shared" si="2"/>
        <v>94</v>
      </c>
      <c r="O33" s="67" t="s">
        <v>109</v>
      </c>
      <c r="P33" s="67" t="s">
        <v>178</v>
      </c>
      <c r="Q33" s="67" t="s">
        <v>179</v>
      </c>
      <c r="R33" s="67" t="s">
        <v>180</v>
      </c>
    </row>
    <row r="34" spans="1:18" ht="36" x14ac:dyDescent="0.25">
      <c r="A34" s="69" t="s">
        <v>123</v>
      </c>
      <c r="B34" s="67">
        <v>37</v>
      </c>
      <c r="C34" s="67">
        <v>17</v>
      </c>
      <c r="D34" s="67">
        <f t="shared" si="0"/>
        <v>54</v>
      </c>
      <c r="E34" s="67">
        <f>37+17</f>
        <v>54</v>
      </c>
      <c r="F34" s="67">
        <v>0</v>
      </c>
      <c r="G34" s="67">
        <v>0</v>
      </c>
      <c r="H34" s="67">
        <v>0</v>
      </c>
      <c r="I34" s="67">
        <f t="shared" si="1"/>
        <v>54</v>
      </c>
      <c r="J34" s="67">
        <v>0</v>
      </c>
      <c r="K34" s="67">
        <v>0</v>
      </c>
      <c r="L34" s="67">
        <v>0</v>
      </c>
      <c r="M34" s="67">
        <v>54</v>
      </c>
      <c r="N34" s="67">
        <f t="shared" si="2"/>
        <v>54</v>
      </c>
      <c r="O34" s="67" t="s">
        <v>109</v>
      </c>
      <c r="P34" s="67" t="s">
        <v>116</v>
      </c>
      <c r="Q34" s="67" t="s">
        <v>181</v>
      </c>
      <c r="R34" s="67" t="s">
        <v>182</v>
      </c>
    </row>
    <row r="35" spans="1:18" ht="24" x14ac:dyDescent="0.25">
      <c r="A35" s="69" t="s">
        <v>123</v>
      </c>
      <c r="B35" s="67">
        <v>0</v>
      </c>
      <c r="C35" s="67">
        <f>7+5</f>
        <v>12</v>
      </c>
      <c r="D35" s="67">
        <f t="shared" si="0"/>
        <v>12</v>
      </c>
      <c r="E35" s="67">
        <v>0</v>
      </c>
      <c r="F35" s="67">
        <v>7</v>
      </c>
      <c r="G35" s="67">
        <v>5</v>
      </c>
      <c r="H35" s="67">
        <v>0</v>
      </c>
      <c r="I35" s="67">
        <f t="shared" si="1"/>
        <v>12</v>
      </c>
      <c r="J35" s="67">
        <v>0</v>
      </c>
      <c r="K35" s="67">
        <v>0</v>
      </c>
      <c r="L35" s="67">
        <v>0</v>
      </c>
      <c r="M35" s="67">
        <v>12</v>
      </c>
      <c r="N35" s="67">
        <f t="shared" si="2"/>
        <v>12</v>
      </c>
      <c r="O35" s="67" t="s">
        <v>109</v>
      </c>
      <c r="P35" s="67" t="s">
        <v>178</v>
      </c>
      <c r="Q35" s="67" t="s">
        <v>183</v>
      </c>
      <c r="R35" s="67" t="s">
        <v>184</v>
      </c>
    </row>
    <row r="36" spans="1:18" ht="24" x14ac:dyDescent="0.25">
      <c r="A36" s="69" t="s">
        <v>134</v>
      </c>
      <c r="B36" s="67">
        <f>3+1+1</f>
        <v>5</v>
      </c>
      <c r="C36" s="67">
        <f>1+4</f>
        <v>5</v>
      </c>
      <c r="D36" s="67">
        <f t="shared" si="0"/>
        <v>10</v>
      </c>
      <c r="E36" s="67">
        <v>0</v>
      </c>
      <c r="F36" s="67">
        <f>3+1</f>
        <v>4</v>
      </c>
      <c r="G36" s="67">
        <f>1+4</f>
        <v>5</v>
      </c>
      <c r="H36" s="67">
        <v>1</v>
      </c>
      <c r="I36" s="67">
        <f t="shared" si="1"/>
        <v>10</v>
      </c>
      <c r="J36" s="67">
        <v>0</v>
      </c>
      <c r="K36" s="67">
        <v>0</v>
      </c>
      <c r="L36" s="67">
        <v>0</v>
      </c>
      <c r="M36" s="67">
        <v>10</v>
      </c>
      <c r="N36" s="67">
        <f t="shared" si="2"/>
        <v>10</v>
      </c>
      <c r="O36" s="67" t="s">
        <v>109</v>
      </c>
      <c r="P36" s="67" t="s">
        <v>178</v>
      </c>
      <c r="Q36" s="67" t="s">
        <v>185</v>
      </c>
      <c r="R36" s="67" t="s">
        <v>186</v>
      </c>
    </row>
    <row r="37" spans="1:18" ht="24" x14ac:dyDescent="0.25">
      <c r="A37" s="69" t="s">
        <v>123</v>
      </c>
      <c r="B37" s="67">
        <f>9+1</f>
        <v>10</v>
      </c>
      <c r="C37" s="67">
        <v>4</v>
      </c>
      <c r="D37" s="67">
        <f t="shared" si="0"/>
        <v>14</v>
      </c>
      <c r="E37" s="67">
        <v>0</v>
      </c>
      <c r="F37" s="67">
        <v>9</v>
      </c>
      <c r="G37" s="67">
        <f>1+4</f>
        <v>5</v>
      </c>
      <c r="H37" s="67">
        <v>0</v>
      </c>
      <c r="I37" s="67">
        <f t="shared" si="1"/>
        <v>14</v>
      </c>
      <c r="J37" s="67">
        <v>0</v>
      </c>
      <c r="K37" s="67">
        <v>0</v>
      </c>
      <c r="L37" s="67">
        <v>0</v>
      </c>
      <c r="M37" s="67">
        <v>14</v>
      </c>
      <c r="N37" s="67">
        <f t="shared" si="2"/>
        <v>14</v>
      </c>
      <c r="O37" s="67" t="s">
        <v>109</v>
      </c>
      <c r="P37" s="67" t="s">
        <v>178</v>
      </c>
      <c r="Q37" s="67" t="s">
        <v>187</v>
      </c>
      <c r="R37" s="67" t="s">
        <v>188</v>
      </c>
    </row>
    <row r="38" spans="1:18" ht="24" x14ac:dyDescent="0.25">
      <c r="A38" s="69" t="s">
        <v>123</v>
      </c>
      <c r="B38" s="67">
        <v>17</v>
      </c>
      <c r="C38" s="67">
        <v>21</v>
      </c>
      <c r="D38" s="67">
        <f t="shared" si="0"/>
        <v>38</v>
      </c>
      <c r="E38" s="67">
        <f>17+21</f>
        <v>38</v>
      </c>
      <c r="F38" s="67">
        <v>0</v>
      </c>
      <c r="G38" s="67">
        <v>0</v>
      </c>
      <c r="H38" s="67">
        <v>0</v>
      </c>
      <c r="I38" s="67">
        <f t="shared" si="1"/>
        <v>38</v>
      </c>
      <c r="J38" s="67">
        <v>0</v>
      </c>
      <c r="K38" s="67">
        <v>0</v>
      </c>
      <c r="L38" s="67">
        <v>0</v>
      </c>
      <c r="M38" s="67">
        <v>38</v>
      </c>
      <c r="N38" s="67">
        <f t="shared" si="2"/>
        <v>38</v>
      </c>
      <c r="O38" s="67" t="s">
        <v>109</v>
      </c>
      <c r="P38" s="67" t="s">
        <v>189</v>
      </c>
      <c r="Q38" s="67" t="s">
        <v>190</v>
      </c>
      <c r="R38" s="67" t="s">
        <v>191</v>
      </c>
    </row>
    <row r="39" spans="1:18" ht="24" x14ac:dyDescent="0.25">
      <c r="A39" s="69" t="s">
        <v>123</v>
      </c>
      <c r="B39" s="67">
        <v>0</v>
      </c>
      <c r="C39" s="67">
        <v>1</v>
      </c>
      <c r="D39" s="67">
        <f t="shared" si="0"/>
        <v>1</v>
      </c>
      <c r="E39" s="67">
        <v>0</v>
      </c>
      <c r="F39" s="67">
        <v>0</v>
      </c>
      <c r="G39" s="67">
        <v>1</v>
      </c>
      <c r="H39" s="67">
        <v>0</v>
      </c>
      <c r="I39" s="67">
        <f t="shared" si="1"/>
        <v>1</v>
      </c>
      <c r="J39" s="67">
        <v>0</v>
      </c>
      <c r="K39" s="67">
        <v>0</v>
      </c>
      <c r="L39" s="67">
        <v>0</v>
      </c>
      <c r="M39" s="67">
        <v>1</v>
      </c>
      <c r="N39" s="67">
        <f t="shared" si="2"/>
        <v>1</v>
      </c>
      <c r="O39" s="67" t="s">
        <v>112</v>
      </c>
      <c r="P39" s="67" t="s">
        <v>192</v>
      </c>
      <c r="Q39" s="67" t="s">
        <v>193</v>
      </c>
      <c r="R39" s="67" t="s">
        <v>194</v>
      </c>
    </row>
    <row r="40" spans="1:18" ht="24" x14ac:dyDescent="0.25">
      <c r="A40" s="69" t="s">
        <v>123</v>
      </c>
      <c r="B40" s="67">
        <v>33</v>
      </c>
      <c r="C40" s="67">
        <v>27</v>
      </c>
      <c r="D40" s="67">
        <f t="shared" si="0"/>
        <v>60</v>
      </c>
      <c r="E40" s="67">
        <f>33+27</f>
        <v>60</v>
      </c>
      <c r="F40" s="67">
        <v>0</v>
      </c>
      <c r="G40" s="67">
        <v>0</v>
      </c>
      <c r="H40" s="67">
        <v>0</v>
      </c>
      <c r="I40" s="67">
        <f t="shared" si="1"/>
        <v>60</v>
      </c>
      <c r="J40" s="67">
        <v>0</v>
      </c>
      <c r="K40" s="67">
        <v>0</v>
      </c>
      <c r="L40" s="67">
        <v>0</v>
      </c>
      <c r="M40" s="67">
        <v>60</v>
      </c>
      <c r="N40" s="67">
        <f t="shared" si="2"/>
        <v>60</v>
      </c>
      <c r="O40" s="67" t="s">
        <v>112</v>
      </c>
      <c r="P40" s="67" t="s">
        <v>118</v>
      </c>
      <c r="Q40" s="67" t="s">
        <v>195</v>
      </c>
      <c r="R40" s="67" t="s">
        <v>196</v>
      </c>
    </row>
    <row r="41" spans="1:18" ht="24" x14ac:dyDescent="0.25">
      <c r="A41" s="69" t="s">
        <v>134</v>
      </c>
      <c r="B41" s="67">
        <v>37</v>
      </c>
      <c r="C41" s="67">
        <f>27+1</f>
        <v>28</v>
      </c>
      <c r="D41" s="67">
        <f t="shared" si="0"/>
        <v>65</v>
      </c>
      <c r="E41" s="67">
        <v>0</v>
      </c>
      <c r="F41" s="67">
        <f>37+27</f>
        <v>64</v>
      </c>
      <c r="G41" s="67">
        <v>1</v>
      </c>
      <c r="H41" s="67">
        <v>0</v>
      </c>
      <c r="I41" s="67">
        <f t="shared" si="1"/>
        <v>65</v>
      </c>
      <c r="J41" s="67">
        <v>0</v>
      </c>
      <c r="K41" s="67">
        <v>11</v>
      </c>
      <c r="L41" s="67">
        <v>2</v>
      </c>
      <c r="M41" s="67">
        <v>52</v>
      </c>
      <c r="N41" s="67">
        <f t="shared" si="2"/>
        <v>65</v>
      </c>
      <c r="O41" s="67" t="s">
        <v>112</v>
      </c>
      <c r="P41" s="67" t="s">
        <v>197</v>
      </c>
      <c r="Q41" s="67" t="s">
        <v>198</v>
      </c>
      <c r="R41" s="67" t="s">
        <v>199</v>
      </c>
    </row>
    <row r="42" spans="1:18" ht="24" x14ac:dyDescent="0.25">
      <c r="A42" s="69" t="s">
        <v>123</v>
      </c>
      <c r="B42" s="67">
        <v>13</v>
      </c>
      <c r="C42" s="67">
        <v>24</v>
      </c>
      <c r="D42" s="67">
        <f t="shared" si="0"/>
        <v>37</v>
      </c>
      <c r="E42" s="67">
        <v>0</v>
      </c>
      <c r="F42" s="67">
        <f>13+24</f>
        <v>37</v>
      </c>
      <c r="G42" s="67">
        <v>0</v>
      </c>
      <c r="H42" s="67">
        <v>0</v>
      </c>
      <c r="I42" s="67">
        <f t="shared" si="1"/>
        <v>37</v>
      </c>
      <c r="J42" s="67">
        <v>0</v>
      </c>
      <c r="K42" s="67">
        <v>0</v>
      </c>
      <c r="L42" s="67">
        <v>0</v>
      </c>
      <c r="M42" s="67">
        <v>37</v>
      </c>
      <c r="N42" s="67">
        <f t="shared" si="2"/>
        <v>37</v>
      </c>
      <c r="O42" s="67" t="s">
        <v>112</v>
      </c>
      <c r="P42" s="67" t="s">
        <v>200</v>
      </c>
      <c r="Q42" s="67" t="s">
        <v>201</v>
      </c>
      <c r="R42" s="67" t="s">
        <v>202</v>
      </c>
    </row>
    <row r="43" spans="1:18" ht="36" x14ac:dyDescent="0.25">
      <c r="A43" s="69" t="s">
        <v>123</v>
      </c>
      <c r="B43" s="67">
        <v>1</v>
      </c>
      <c r="C43" s="67">
        <v>3</v>
      </c>
      <c r="D43" s="67">
        <f t="shared" si="0"/>
        <v>4</v>
      </c>
      <c r="E43" s="67">
        <v>0</v>
      </c>
      <c r="F43" s="67">
        <v>3</v>
      </c>
      <c r="G43" s="67">
        <v>1</v>
      </c>
      <c r="H43" s="67">
        <v>0</v>
      </c>
      <c r="I43" s="67">
        <f t="shared" si="1"/>
        <v>4</v>
      </c>
      <c r="J43" s="67">
        <v>0</v>
      </c>
      <c r="K43" s="67">
        <v>1</v>
      </c>
      <c r="L43" s="67">
        <v>0</v>
      </c>
      <c r="M43" s="67">
        <v>3</v>
      </c>
      <c r="N43" s="67">
        <f t="shared" si="2"/>
        <v>4</v>
      </c>
      <c r="O43" s="67" t="s">
        <v>112</v>
      </c>
      <c r="P43" s="67" t="s">
        <v>292</v>
      </c>
      <c r="Q43" s="67" t="s">
        <v>293</v>
      </c>
      <c r="R43" s="67" t="s">
        <v>203</v>
      </c>
    </row>
    <row r="44" spans="1:18" ht="24" x14ac:dyDescent="0.25">
      <c r="A44" s="72" t="s">
        <v>123</v>
      </c>
      <c r="B44" s="71">
        <v>1</v>
      </c>
      <c r="C44" s="71">
        <v>2</v>
      </c>
      <c r="D44" s="71">
        <f t="shared" si="0"/>
        <v>3</v>
      </c>
      <c r="E44" s="71">
        <v>0</v>
      </c>
      <c r="F44" s="71">
        <v>0</v>
      </c>
      <c r="G44" s="71">
        <f>1+2</f>
        <v>3</v>
      </c>
      <c r="H44" s="71">
        <v>0</v>
      </c>
      <c r="I44" s="71">
        <f t="shared" si="1"/>
        <v>3</v>
      </c>
      <c r="J44" s="71">
        <v>0</v>
      </c>
      <c r="K44" s="71">
        <v>0</v>
      </c>
      <c r="L44" s="71">
        <v>0</v>
      </c>
      <c r="M44" s="71">
        <v>3</v>
      </c>
      <c r="N44" s="71">
        <f t="shared" si="2"/>
        <v>3</v>
      </c>
      <c r="O44" s="71" t="s">
        <v>112</v>
      </c>
      <c r="P44" s="67" t="s">
        <v>192</v>
      </c>
      <c r="Q44" s="71" t="s">
        <v>204</v>
      </c>
      <c r="R44" s="71" t="s">
        <v>205</v>
      </c>
    </row>
    <row r="45" spans="1:18" ht="60" x14ac:dyDescent="0.25">
      <c r="A45" s="69" t="s">
        <v>123</v>
      </c>
      <c r="B45" s="67">
        <v>0</v>
      </c>
      <c r="C45" s="67">
        <v>1</v>
      </c>
      <c r="D45" s="67">
        <f t="shared" si="0"/>
        <v>1</v>
      </c>
      <c r="E45" s="67">
        <v>0</v>
      </c>
      <c r="F45" s="67">
        <v>0</v>
      </c>
      <c r="G45" s="67">
        <v>0</v>
      </c>
      <c r="H45" s="67">
        <v>1</v>
      </c>
      <c r="I45" s="67">
        <f t="shared" si="1"/>
        <v>1</v>
      </c>
      <c r="J45" s="67">
        <v>0</v>
      </c>
      <c r="K45" s="67">
        <v>0</v>
      </c>
      <c r="L45" s="67">
        <v>0</v>
      </c>
      <c r="M45" s="67">
        <v>1</v>
      </c>
      <c r="N45" s="67">
        <f t="shared" si="2"/>
        <v>1</v>
      </c>
      <c r="O45" s="67" t="s">
        <v>112</v>
      </c>
      <c r="P45" s="67" t="s">
        <v>120</v>
      </c>
      <c r="Q45" s="67" t="s">
        <v>206</v>
      </c>
      <c r="R45" s="67" t="s">
        <v>207</v>
      </c>
    </row>
    <row r="46" spans="1:18" ht="48" x14ac:dyDescent="0.25">
      <c r="A46" s="69" t="s">
        <v>123</v>
      </c>
      <c r="B46" s="67">
        <f>4+22</f>
        <v>26</v>
      </c>
      <c r="C46" s="67">
        <f>2+18</f>
        <v>20</v>
      </c>
      <c r="D46" s="67">
        <f t="shared" si="0"/>
        <v>46</v>
      </c>
      <c r="E46" s="67">
        <f>4+2</f>
        <v>6</v>
      </c>
      <c r="F46" s="67">
        <f>22+18</f>
        <v>40</v>
      </c>
      <c r="G46" s="67">
        <v>0</v>
      </c>
      <c r="H46" s="67">
        <v>0</v>
      </c>
      <c r="I46" s="67">
        <f t="shared" si="1"/>
        <v>46</v>
      </c>
      <c r="J46" s="67">
        <v>0</v>
      </c>
      <c r="K46" s="67">
        <v>1</v>
      </c>
      <c r="L46" s="67">
        <v>1</v>
      </c>
      <c r="M46" s="67">
        <v>44</v>
      </c>
      <c r="N46" s="67">
        <f t="shared" si="2"/>
        <v>46</v>
      </c>
      <c r="O46" s="67" t="s">
        <v>112</v>
      </c>
      <c r="P46" s="67" t="s">
        <v>119</v>
      </c>
      <c r="Q46" s="67" t="s">
        <v>208</v>
      </c>
      <c r="R46" s="67" t="s">
        <v>209</v>
      </c>
    </row>
    <row r="47" spans="1:18" ht="36" x14ac:dyDescent="0.25">
      <c r="A47" s="69" t="s">
        <v>123</v>
      </c>
      <c r="B47" s="67">
        <v>1</v>
      </c>
      <c r="C47" s="67">
        <v>0</v>
      </c>
      <c r="D47" s="67">
        <f t="shared" si="0"/>
        <v>1</v>
      </c>
      <c r="E47" s="67">
        <v>0</v>
      </c>
      <c r="F47" s="67">
        <v>0</v>
      </c>
      <c r="G47" s="67">
        <v>1</v>
      </c>
      <c r="H47" s="67">
        <v>0</v>
      </c>
      <c r="I47" s="67">
        <f t="shared" si="1"/>
        <v>1</v>
      </c>
      <c r="J47" s="67">
        <v>1</v>
      </c>
      <c r="K47" s="67">
        <v>0</v>
      </c>
      <c r="L47" s="67">
        <v>0</v>
      </c>
      <c r="M47" s="67">
        <v>0</v>
      </c>
      <c r="N47" s="67">
        <f t="shared" si="2"/>
        <v>1</v>
      </c>
      <c r="O47" s="67" t="s">
        <v>113</v>
      </c>
      <c r="P47" s="67" t="s">
        <v>210</v>
      </c>
      <c r="Q47" s="67" t="s">
        <v>211</v>
      </c>
      <c r="R47" s="67" t="s">
        <v>212</v>
      </c>
    </row>
    <row r="48" spans="1:18" ht="24" x14ac:dyDescent="0.25">
      <c r="A48" s="69" t="s">
        <v>123</v>
      </c>
      <c r="B48" s="67">
        <f>1+1</f>
        <v>2</v>
      </c>
      <c r="C48" s="67">
        <v>0</v>
      </c>
      <c r="D48" s="67">
        <f t="shared" si="0"/>
        <v>2</v>
      </c>
      <c r="E48" s="67">
        <v>0</v>
      </c>
      <c r="F48" s="67">
        <v>1</v>
      </c>
      <c r="G48" s="67">
        <v>1</v>
      </c>
      <c r="H48" s="67">
        <v>0</v>
      </c>
      <c r="I48" s="67">
        <f t="shared" si="1"/>
        <v>2</v>
      </c>
      <c r="J48" s="67">
        <v>2</v>
      </c>
      <c r="K48" s="67">
        <v>0</v>
      </c>
      <c r="L48" s="67">
        <v>0</v>
      </c>
      <c r="M48" s="67">
        <v>0</v>
      </c>
      <c r="N48" s="67">
        <f t="shared" si="2"/>
        <v>2</v>
      </c>
      <c r="O48" s="67" t="s">
        <v>113</v>
      </c>
      <c r="P48" s="67" t="s">
        <v>213</v>
      </c>
      <c r="Q48" s="67" t="s">
        <v>214</v>
      </c>
      <c r="R48" s="67" t="s">
        <v>205</v>
      </c>
    </row>
    <row r="49" spans="1:18" ht="24" x14ac:dyDescent="0.25">
      <c r="A49" s="69" t="s">
        <v>134</v>
      </c>
      <c r="B49" s="67">
        <v>0</v>
      </c>
      <c r="C49" s="67">
        <v>1</v>
      </c>
      <c r="D49" s="67">
        <f t="shared" si="0"/>
        <v>1</v>
      </c>
      <c r="E49" s="67">
        <v>0</v>
      </c>
      <c r="F49" s="67">
        <v>0</v>
      </c>
      <c r="G49" s="67">
        <v>1</v>
      </c>
      <c r="H49" s="67">
        <v>0</v>
      </c>
      <c r="I49" s="67">
        <f t="shared" si="1"/>
        <v>1</v>
      </c>
      <c r="J49" s="67">
        <v>1</v>
      </c>
      <c r="K49" s="67">
        <v>0</v>
      </c>
      <c r="L49" s="67">
        <v>0</v>
      </c>
      <c r="M49" s="67">
        <v>0</v>
      </c>
      <c r="N49" s="67">
        <f t="shared" si="2"/>
        <v>1</v>
      </c>
      <c r="O49" s="67" t="s">
        <v>113</v>
      </c>
      <c r="P49" s="67" t="s">
        <v>213</v>
      </c>
      <c r="Q49" s="67" t="s">
        <v>215</v>
      </c>
      <c r="R49" s="67" t="s">
        <v>216</v>
      </c>
    </row>
    <row r="50" spans="1:18" ht="24" x14ac:dyDescent="0.25">
      <c r="A50" s="69" t="s">
        <v>123</v>
      </c>
      <c r="B50" s="67">
        <v>1</v>
      </c>
      <c r="C50" s="67">
        <f>1+3</f>
        <v>4</v>
      </c>
      <c r="D50" s="67">
        <f t="shared" si="0"/>
        <v>5</v>
      </c>
      <c r="E50" s="67">
        <v>0</v>
      </c>
      <c r="F50" s="67">
        <v>1</v>
      </c>
      <c r="G50" s="67">
        <f>1+3</f>
        <v>4</v>
      </c>
      <c r="H50" s="67">
        <v>0</v>
      </c>
      <c r="I50" s="67">
        <f t="shared" si="1"/>
        <v>5</v>
      </c>
      <c r="J50" s="67">
        <v>1</v>
      </c>
      <c r="K50" s="67">
        <v>0</v>
      </c>
      <c r="L50" s="67">
        <v>0</v>
      </c>
      <c r="M50" s="67">
        <v>4</v>
      </c>
      <c r="N50" s="67">
        <f t="shared" si="2"/>
        <v>5</v>
      </c>
      <c r="O50" s="67" t="s">
        <v>113</v>
      </c>
      <c r="P50" s="67" t="s">
        <v>213</v>
      </c>
      <c r="Q50" s="67" t="s">
        <v>217</v>
      </c>
      <c r="R50" s="67" t="s">
        <v>218</v>
      </c>
    </row>
    <row r="51" spans="1:18" ht="24" x14ac:dyDescent="0.25">
      <c r="A51" s="69" t="s">
        <v>123</v>
      </c>
      <c r="B51" s="67">
        <v>0</v>
      </c>
      <c r="C51" s="67">
        <f>9+14+3</f>
        <v>26</v>
      </c>
      <c r="D51" s="67">
        <f t="shared" si="0"/>
        <v>26</v>
      </c>
      <c r="E51" s="67">
        <v>0</v>
      </c>
      <c r="F51" s="67">
        <v>9</v>
      </c>
      <c r="G51" s="67">
        <v>14</v>
      </c>
      <c r="H51" s="67">
        <v>3</v>
      </c>
      <c r="I51" s="67">
        <f t="shared" si="1"/>
        <v>26</v>
      </c>
      <c r="J51" s="67">
        <v>26</v>
      </c>
      <c r="K51" s="67">
        <v>0</v>
      </c>
      <c r="L51" s="67">
        <v>0</v>
      </c>
      <c r="M51" s="67">
        <v>0</v>
      </c>
      <c r="N51" s="67">
        <f t="shared" si="2"/>
        <v>26</v>
      </c>
      <c r="O51" s="67" t="s">
        <v>113</v>
      </c>
      <c r="P51" s="67" t="s">
        <v>213</v>
      </c>
      <c r="Q51" s="67" t="s">
        <v>219</v>
      </c>
      <c r="R51" s="67" t="s">
        <v>219</v>
      </c>
    </row>
    <row r="52" spans="1:18" ht="24" x14ac:dyDescent="0.25">
      <c r="A52" s="69" t="s">
        <v>123</v>
      </c>
      <c r="B52" s="67">
        <v>1</v>
      </c>
      <c r="C52" s="67">
        <v>2</v>
      </c>
      <c r="D52" s="67">
        <f t="shared" si="0"/>
        <v>3</v>
      </c>
      <c r="E52" s="67">
        <v>0</v>
      </c>
      <c r="F52" s="67">
        <v>0</v>
      </c>
      <c r="G52" s="67">
        <f>1+2</f>
        <v>3</v>
      </c>
      <c r="H52" s="67">
        <v>0</v>
      </c>
      <c r="I52" s="67">
        <f t="shared" si="1"/>
        <v>3</v>
      </c>
      <c r="J52" s="67">
        <v>2</v>
      </c>
      <c r="K52" s="67">
        <v>0</v>
      </c>
      <c r="L52" s="67">
        <v>0</v>
      </c>
      <c r="M52" s="67">
        <v>1</v>
      </c>
      <c r="N52" s="67">
        <f t="shared" si="2"/>
        <v>3</v>
      </c>
      <c r="O52" s="67" t="s">
        <v>113</v>
      </c>
      <c r="P52" s="67" t="s">
        <v>210</v>
      </c>
      <c r="Q52" s="67" t="s">
        <v>220</v>
      </c>
      <c r="R52" s="67" t="s">
        <v>221</v>
      </c>
    </row>
    <row r="53" spans="1:18" ht="24" x14ac:dyDescent="0.25">
      <c r="A53" s="72" t="s">
        <v>123</v>
      </c>
      <c r="B53" s="71">
        <f>1+2</f>
        <v>3</v>
      </c>
      <c r="C53" s="71">
        <v>2</v>
      </c>
      <c r="D53" s="67">
        <f t="shared" si="0"/>
        <v>5</v>
      </c>
      <c r="E53" s="71">
        <v>0</v>
      </c>
      <c r="F53" s="71">
        <v>1</v>
      </c>
      <c r="G53" s="71">
        <f>2+2</f>
        <v>4</v>
      </c>
      <c r="H53" s="71">
        <v>0</v>
      </c>
      <c r="I53" s="67">
        <f t="shared" si="1"/>
        <v>5</v>
      </c>
      <c r="J53" s="71">
        <v>1</v>
      </c>
      <c r="K53" s="71">
        <v>0</v>
      </c>
      <c r="L53" s="71">
        <v>0</v>
      </c>
      <c r="M53" s="71">
        <v>4</v>
      </c>
      <c r="N53" s="67">
        <f t="shared" si="2"/>
        <v>5</v>
      </c>
      <c r="O53" s="71" t="s">
        <v>113</v>
      </c>
      <c r="P53" s="67" t="s">
        <v>222</v>
      </c>
      <c r="Q53" s="67" t="s">
        <v>223</v>
      </c>
      <c r="R53" s="67" t="s">
        <v>146</v>
      </c>
    </row>
    <row r="54" spans="1:18" ht="24" x14ac:dyDescent="0.25">
      <c r="A54" s="69" t="s">
        <v>123</v>
      </c>
      <c r="B54" s="67">
        <v>0</v>
      </c>
      <c r="C54" s="67">
        <v>1</v>
      </c>
      <c r="D54" s="67">
        <f t="shared" si="0"/>
        <v>1</v>
      </c>
      <c r="E54" s="67">
        <v>0</v>
      </c>
      <c r="F54" s="67">
        <v>0</v>
      </c>
      <c r="G54" s="67">
        <v>1</v>
      </c>
      <c r="H54" s="67">
        <v>0</v>
      </c>
      <c r="I54" s="67">
        <f t="shared" si="1"/>
        <v>1</v>
      </c>
      <c r="J54" s="67">
        <v>1</v>
      </c>
      <c r="K54" s="67">
        <v>0</v>
      </c>
      <c r="L54" s="67">
        <v>0</v>
      </c>
      <c r="M54" s="67">
        <v>0</v>
      </c>
      <c r="N54" s="67">
        <f t="shared" si="2"/>
        <v>1</v>
      </c>
      <c r="O54" s="71" t="s">
        <v>113</v>
      </c>
      <c r="P54" s="67" t="s">
        <v>222</v>
      </c>
      <c r="Q54" s="67" t="s">
        <v>224</v>
      </c>
      <c r="R54" s="67" t="s">
        <v>225</v>
      </c>
    </row>
    <row r="55" spans="1:18" ht="24" x14ac:dyDescent="0.25">
      <c r="A55" s="69" t="s">
        <v>123</v>
      </c>
      <c r="B55" s="67">
        <v>1</v>
      </c>
      <c r="C55" s="67">
        <f>4+1</f>
        <v>5</v>
      </c>
      <c r="D55" s="67">
        <f t="shared" si="0"/>
        <v>6</v>
      </c>
      <c r="E55" s="67">
        <v>0</v>
      </c>
      <c r="F55" s="67">
        <f>1+4</f>
        <v>5</v>
      </c>
      <c r="G55" s="67">
        <v>1</v>
      </c>
      <c r="H55" s="67">
        <v>0</v>
      </c>
      <c r="I55" s="67">
        <f t="shared" si="1"/>
        <v>6</v>
      </c>
      <c r="J55" s="67">
        <v>3</v>
      </c>
      <c r="K55" s="67">
        <v>0</v>
      </c>
      <c r="L55" s="67">
        <v>0</v>
      </c>
      <c r="M55" s="67">
        <v>3</v>
      </c>
      <c r="N55" s="67">
        <f t="shared" si="2"/>
        <v>6</v>
      </c>
      <c r="O55" s="71" t="s">
        <v>113</v>
      </c>
      <c r="P55" s="67" t="s">
        <v>222</v>
      </c>
      <c r="Q55" s="67" t="s">
        <v>226</v>
      </c>
      <c r="R55" s="67" t="s">
        <v>227</v>
      </c>
    </row>
    <row r="56" spans="1:18" ht="36" x14ac:dyDescent="0.25">
      <c r="A56" s="69" t="s">
        <v>123</v>
      </c>
      <c r="B56" s="67">
        <v>1</v>
      </c>
      <c r="C56" s="67">
        <v>0</v>
      </c>
      <c r="D56" s="67">
        <f t="shared" si="0"/>
        <v>1</v>
      </c>
      <c r="E56" s="67">
        <v>0</v>
      </c>
      <c r="F56" s="67">
        <v>0</v>
      </c>
      <c r="G56" s="67">
        <v>1</v>
      </c>
      <c r="H56" s="67">
        <v>0</v>
      </c>
      <c r="I56" s="67">
        <f t="shared" si="1"/>
        <v>1</v>
      </c>
      <c r="J56" s="67">
        <v>0</v>
      </c>
      <c r="K56" s="67">
        <v>0</v>
      </c>
      <c r="L56" s="67">
        <v>0</v>
      </c>
      <c r="M56" s="67">
        <v>1</v>
      </c>
      <c r="N56" s="67">
        <f t="shared" si="2"/>
        <v>1</v>
      </c>
      <c r="O56" s="71" t="s">
        <v>113</v>
      </c>
      <c r="P56" s="67" t="s">
        <v>222</v>
      </c>
      <c r="Q56" s="67" t="s">
        <v>228</v>
      </c>
      <c r="R56" s="67" t="s">
        <v>216</v>
      </c>
    </row>
    <row r="57" spans="1:18" ht="24" x14ac:dyDescent="0.25">
      <c r="A57" s="69" t="s">
        <v>123</v>
      </c>
      <c r="B57" s="67">
        <v>211</v>
      </c>
      <c r="C57" s="67">
        <v>100</v>
      </c>
      <c r="D57" s="67">
        <f t="shared" si="0"/>
        <v>311</v>
      </c>
      <c r="E57" s="67">
        <v>0</v>
      </c>
      <c r="F57" s="67">
        <f>211+100</f>
        <v>311</v>
      </c>
      <c r="G57" s="67">
        <v>0</v>
      </c>
      <c r="H57" s="67">
        <v>0</v>
      </c>
      <c r="I57" s="67">
        <f t="shared" si="1"/>
        <v>311</v>
      </c>
      <c r="J57" s="67">
        <v>125</v>
      </c>
      <c r="K57" s="67">
        <v>0</v>
      </c>
      <c r="L57" s="67">
        <v>0</v>
      </c>
      <c r="M57" s="67">
        <v>186</v>
      </c>
      <c r="N57" s="67">
        <f t="shared" si="2"/>
        <v>311</v>
      </c>
      <c r="O57" s="67" t="s">
        <v>113</v>
      </c>
      <c r="P57" s="67" t="s">
        <v>210</v>
      </c>
      <c r="Q57" s="67" t="s">
        <v>220</v>
      </c>
      <c r="R57" s="67" t="s">
        <v>221</v>
      </c>
    </row>
    <row r="58" spans="1:18" ht="24" x14ac:dyDescent="0.25">
      <c r="A58" s="69" t="s">
        <v>123</v>
      </c>
      <c r="B58" s="67">
        <v>0</v>
      </c>
      <c r="C58" s="67">
        <f>17+6+1</f>
        <v>24</v>
      </c>
      <c r="D58" s="67">
        <f t="shared" si="0"/>
        <v>24</v>
      </c>
      <c r="E58" s="67">
        <v>0</v>
      </c>
      <c r="F58" s="67">
        <v>17</v>
      </c>
      <c r="G58" s="67">
        <v>6</v>
      </c>
      <c r="H58" s="67">
        <v>1</v>
      </c>
      <c r="I58" s="67">
        <f t="shared" si="1"/>
        <v>24</v>
      </c>
      <c r="J58" s="67">
        <v>24</v>
      </c>
      <c r="K58" s="67">
        <v>0</v>
      </c>
      <c r="L58" s="67">
        <v>0</v>
      </c>
      <c r="M58" s="67">
        <v>0</v>
      </c>
      <c r="N58" s="67">
        <f t="shared" si="2"/>
        <v>24</v>
      </c>
      <c r="O58" s="67" t="s">
        <v>113</v>
      </c>
      <c r="P58" s="67" t="s">
        <v>210</v>
      </c>
      <c r="Q58" s="67" t="s">
        <v>229</v>
      </c>
      <c r="R58" s="67" t="s">
        <v>229</v>
      </c>
    </row>
    <row r="59" spans="1:18" ht="48" x14ac:dyDescent="0.25">
      <c r="A59" s="69" t="s">
        <v>134</v>
      </c>
      <c r="B59" s="67">
        <v>64</v>
      </c>
      <c r="C59" s="67">
        <v>71</v>
      </c>
      <c r="D59" s="67">
        <f t="shared" si="0"/>
        <v>135</v>
      </c>
      <c r="E59" s="67">
        <v>0</v>
      </c>
      <c r="F59" s="67">
        <f>64+71</f>
        <v>135</v>
      </c>
      <c r="G59" s="67">
        <v>0</v>
      </c>
      <c r="H59" s="67">
        <v>0</v>
      </c>
      <c r="I59" s="67">
        <f t="shared" si="1"/>
        <v>135</v>
      </c>
      <c r="J59" s="67">
        <v>132</v>
      </c>
      <c r="K59" s="67">
        <v>0</v>
      </c>
      <c r="L59" s="67">
        <v>0</v>
      </c>
      <c r="M59" s="67">
        <v>3</v>
      </c>
      <c r="N59" s="67">
        <f t="shared" si="2"/>
        <v>135</v>
      </c>
      <c r="O59" s="67" t="s">
        <v>110</v>
      </c>
      <c r="P59" s="67" t="s">
        <v>230</v>
      </c>
      <c r="Q59" s="67" t="s">
        <v>231</v>
      </c>
      <c r="R59" s="67" t="s">
        <v>232</v>
      </c>
    </row>
    <row r="60" spans="1:18" ht="24" x14ac:dyDescent="0.25">
      <c r="A60" s="69" t="s">
        <v>134</v>
      </c>
      <c r="B60" s="67">
        <v>2</v>
      </c>
      <c r="C60" s="67">
        <v>12</v>
      </c>
      <c r="D60" s="67">
        <f t="shared" si="0"/>
        <v>14</v>
      </c>
      <c r="E60" s="67">
        <v>0</v>
      </c>
      <c r="F60" s="67">
        <v>0</v>
      </c>
      <c r="G60" s="67">
        <f>2+12</f>
        <v>14</v>
      </c>
      <c r="H60" s="67">
        <v>0</v>
      </c>
      <c r="I60" s="67">
        <f t="shared" si="1"/>
        <v>14</v>
      </c>
      <c r="J60" s="67">
        <v>0</v>
      </c>
      <c r="K60" s="67">
        <v>0</v>
      </c>
      <c r="L60" s="67">
        <v>0</v>
      </c>
      <c r="M60" s="67">
        <v>14</v>
      </c>
      <c r="N60" s="67">
        <f t="shared" si="2"/>
        <v>14</v>
      </c>
      <c r="O60" s="67" t="s">
        <v>110</v>
      </c>
      <c r="P60" s="67" t="s">
        <v>110</v>
      </c>
      <c r="Q60" s="67" t="s">
        <v>233</v>
      </c>
      <c r="R60" s="67" t="s">
        <v>234</v>
      </c>
    </row>
    <row r="61" spans="1:18" ht="24" x14ac:dyDescent="0.25">
      <c r="A61" s="69" t="s">
        <v>123</v>
      </c>
      <c r="B61" s="67">
        <v>0</v>
      </c>
      <c r="C61" s="67">
        <v>1</v>
      </c>
      <c r="D61" s="67">
        <f t="shared" si="0"/>
        <v>1</v>
      </c>
      <c r="E61" s="67">
        <v>0</v>
      </c>
      <c r="F61" s="67">
        <v>0</v>
      </c>
      <c r="G61" s="67">
        <v>1</v>
      </c>
      <c r="H61" s="67">
        <v>0</v>
      </c>
      <c r="I61" s="67">
        <f t="shared" si="1"/>
        <v>1</v>
      </c>
      <c r="J61" s="67">
        <v>0</v>
      </c>
      <c r="K61" s="67">
        <v>0</v>
      </c>
      <c r="L61" s="67">
        <v>0</v>
      </c>
      <c r="M61" s="67">
        <v>1</v>
      </c>
      <c r="N61" s="67">
        <f t="shared" si="2"/>
        <v>1</v>
      </c>
      <c r="O61" s="67" t="s">
        <v>110</v>
      </c>
      <c r="P61" s="67" t="s">
        <v>110</v>
      </c>
      <c r="Q61" s="67" t="s">
        <v>235</v>
      </c>
      <c r="R61" s="67" t="s">
        <v>236</v>
      </c>
    </row>
    <row r="62" spans="1:18" ht="24" x14ac:dyDescent="0.25">
      <c r="A62" s="69" t="s">
        <v>123</v>
      </c>
      <c r="B62" s="67">
        <v>0</v>
      </c>
      <c r="C62" s="67">
        <v>1</v>
      </c>
      <c r="D62" s="67">
        <f t="shared" si="0"/>
        <v>1</v>
      </c>
      <c r="E62" s="67">
        <v>0</v>
      </c>
      <c r="F62" s="67">
        <v>0</v>
      </c>
      <c r="G62" s="67">
        <v>1</v>
      </c>
      <c r="H62" s="67">
        <v>0</v>
      </c>
      <c r="I62" s="67">
        <f t="shared" si="1"/>
        <v>1</v>
      </c>
      <c r="J62" s="67">
        <v>0</v>
      </c>
      <c r="K62" s="67">
        <v>0</v>
      </c>
      <c r="L62" s="67">
        <v>0</v>
      </c>
      <c r="M62" s="67">
        <v>1</v>
      </c>
      <c r="N62" s="67">
        <f t="shared" si="2"/>
        <v>1</v>
      </c>
      <c r="O62" s="67" t="s">
        <v>110</v>
      </c>
      <c r="P62" s="67" t="s">
        <v>110</v>
      </c>
      <c r="Q62" s="67" t="s">
        <v>237</v>
      </c>
      <c r="R62" s="67" t="s">
        <v>238</v>
      </c>
    </row>
    <row r="63" spans="1:18" ht="24" x14ac:dyDescent="0.25">
      <c r="A63" s="69" t="s">
        <v>123</v>
      </c>
      <c r="B63" s="67">
        <f>2+12+8</f>
        <v>22</v>
      </c>
      <c r="C63" s="67">
        <f>2+18+7</f>
        <v>27</v>
      </c>
      <c r="D63" s="67">
        <f t="shared" si="0"/>
        <v>49</v>
      </c>
      <c r="E63" s="67">
        <v>0</v>
      </c>
      <c r="F63" s="67">
        <f>2+2</f>
        <v>4</v>
      </c>
      <c r="G63" s="67">
        <f>12+18</f>
        <v>30</v>
      </c>
      <c r="H63" s="67">
        <f>8+7</f>
        <v>15</v>
      </c>
      <c r="I63" s="67">
        <f t="shared" si="1"/>
        <v>49</v>
      </c>
      <c r="J63" s="67">
        <v>11</v>
      </c>
      <c r="K63" s="67">
        <v>0</v>
      </c>
      <c r="L63" s="67">
        <v>0</v>
      </c>
      <c r="M63" s="67">
        <v>38</v>
      </c>
      <c r="N63" s="67">
        <f t="shared" si="2"/>
        <v>49</v>
      </c>
      <c r="O63" s="67" t="s">
        <v>110</v>
      </c>
      <c r="P63" s="67" t="s">
        <v>110</v>
      </c>
      <c r="Q63" s="67" t="s">
        <v>239</v>
      </c>
      <c r="R63" s="67" t="s">
        <v>240</v>
      </c>
    </row>
    <row r="64" spans="1:18" ht="24" x14ac:dyDescent="0.25">
      <c r="A64" s="69" t="s">
        <v>123</v>
      </c>
      <c r="B64" s="67">
        <v>1</v>
      </c>
      <c r="C64" s="67">
        <v>0</v>
      </c>
      <c r="D64" s="67">
        <f t="shared" si="0"/>
        <v>1</v>
      </c>
      <c r="E64" s="67">
        <v>0</v>
      </c>
      <c r="F64" s="67">
        <v>0</v>
      </c>
      <c r="G64" s="67">
        <v>1</v>
      </c>
      <c r="H64" s="67">
        <v>0</v>
      </c>
      <c r="I64" s="67">
        <f t="shared" si="1"/>
        <v>1</v>
      </c>
      <c r="J64" s="67">
        <v>1</v>
      </c>
      <c r="K64" s="67">
        <v>0</v>
      </c>
      <c r="L64" s="67">
        <v>0</v>
      </c>
      <c r="M64" s="67">
        <v>0</v>
      </c>
      <c r="N64" s="67">
        <f t="shared" si="2"/>
        <v>1</v>
      </c>
      <c r="O64" s="67" t="s">
        <v>110</v>
      </c>
      <c r="P64" s="67" t="s">
        <v>110</v>
      </c>
      <c r="Q64" s="67" t="s">
        <v>239</v>
      </c>
      <c r="R64" s="67" t="s">
        <v>240</v>
      </c>
    </row>
    <row r="65" spans="1:18" ht="24" x14ac:dyDescent="0.25">
      <c r="A65" s="69" t="s">
        <v>123</v>
      </c>
      <c r="B65" s="67">
        <v>1</v>
      </c>
      <c r="C65" s="67">
        <f>15+9</f>
        <v>24</v>
      </c>
      <c r="D65" s="67">
        <f t="shared" si="0"/>
        <v>25</v>
      </c>
      <c r="E65" s="67">
        <v>0</v>
      </c>
      <c r="F65" s="67">
        <f>1+15</f>
        <v>16</v>
      </c>
      <c r="G65" s="67">
        <v>9</v>
      </c>
      <c r="H65" s="67">
        <v>0</v>
      </c>
      <c r="I65" s="67">
        <f t="shared" si="1"/>
        <v>25</v>
      </c>
      <c r="J65" s="67">
        <v>24</v>
      </c>
      <c r="K65" s="67">
        <v>0</v>
      </c>
      <c r="L65" s="67">
        <v>0</v>
      </c>
      <c r="M65" s="67">
        <v>1</v>
      </c>
      <c r="N65" s="67">
        <f t="shared" si="2"/>
        <v>25</v>
      </c>
      <c r="O65" s="67" t="s">
        <v>110</v>
      </c>
      <c r="P65" s="67" t="s">
        <v>230</v>
      </c>
      <c r="Q65" s="67" t="s">
        <v>241</v>
      </c>
      <c r="R65" s="67" t="s">
        <v>242</v>
      </c>
    </row>
    <row r="66" spans="1:18" ht="24" x14ac:dyDescent="0.25">
      <c r="A66" s="69" t="s">
        <v>134</v>
      </c>
      <c r="B66" s="67">
        <v>126</v>
      </c>
      <c r="C66" s="67">
        <v>122</v>
      </c>
      <c r="D66" s="67">
        <f t="shared" si="0"/>
        <v>248</v>
      </c>
      <c r="E66" s="67">
        <v>0</v>
      </c>
      <c r="F66" s="67">
        <f>126+122</f>
        <v>248</v>
      </c>
      <c r="G66" s="67">
        <v>0</v>
      </c>
      <c r="H66" s="67">
        <v>0</v>
      </c>
      <c r="I66" s="67">
        <f t="shared" si="1"/>
        <v>248</v>
      </c>
      <c r="J66" s="67">
        <v>48</v>
      </c>
      <c r="K66" s="67">
        <v>0</v>
      </c>
      <c r="L66" s="67">
        <v>0</v>
      </c>
      <c r="M66" s="67">
        <v>200</v>
      </c>
      <c r="N66" s="67">
        <f t="shared" si="2"/>
        <v>248</v>
      </c>
      <c r="O66" s="67" t="s">
        <v>110</v>
      </c>
      <c r="P66" s="67" t="s">
        <v>243</v>
      </c>
      <c r="Q66" s="67" t="s">
        <v>244</v>
      </c>
      <c r="R66" s="67" t="s">
        <v>245</v>
      </c>
    </row>
    <row r="67" spans="1:18" ht="36" x14ac:dyDescent="0.25">
      <c r="A67" s="69" t="s">
        <v>123</v>
      </c>
      <c r="B67" s="67">
        <f>2+4+1+2</f>
        <v>9</v>
      </c>
      <c r="C67" s="67">
        <f>19+17+6</f>
        <v>42</v>
      </c>
      <c r="D67" s="67">
        <f t="shared" si="0"/>
        <v>51</v>
      </c>
      <c r="E67" s="67">
        <f>2+19</f>
        <v>21</v>
      </c>
      <c r="F67" s="67">
        <f>4+17</f>
        <v>21</v>
      </c>
      <c r="G67" s="67">
        <f>1+6</f>
        <v>7</v>
      </c>
      <c r="H67" s="67">
        <v>2</v>
      </c>
      <c r="I67" s="67">
        <f t="shared" si="1"/>
        <v>51</v>
      </c>
      <c r="J67" s="67">
        <v>5</v>
      </c>
      <c r="K67" s="67">
        <v>0</v>
      </c>
      <c r="L67" s="67">
        <v>0</v>
      </c>
      <c r="M67" s="67">
        <v>46</v>
      </c>
      <c r="N67" s="67">
        <f t="shared" si="2"/>
        <v>51</v>
      </c>
      <c r="O67" s="67" t="s">
        <v>110</v>
      </c>
      <c r="P67" s="67" t="s">
        <v>110</v>
      </c>
      <c r="Q67" s="67" t="s">
        <v>246</v>
      </c>
      <c r="R67" s="67" t="s">
        <v>247</v>
      </c>
    </row>
    <row r="68" spans="1:18" ht="24" x14ac:dyDescent="0.25">
      <c r="A68" s="69" t="s">
        <v>123</v>
      </c>
      <c r="B68" s="67">
        <f>7+7</f>
        <v>14</v>
      </c>
      <c r="C68" s="67">
        <f>2+10+8</f>
        <v>20</v>
      </c>
      <c r="D68" s="67">
        <f t="shared" si="0"/>
        <v>34</v>
      </c>
      <c r="E68" s="67">
        <v>0</v>
      </c>
      <c r="F68" s="67">
        <v>2</v>
      </c>
      <c r="G68" s="67">
        <f>7+10</f>
        <v>17</v>
      </c>
      <c r="H68" s="67">
        <f>7+8</f>
        <v>15</v>
      </c>
      <c r="I68" s="67">
        <f t="shared" si="1"/>
        <v>34</v>
      </c>
      <c r="J68" s="67">
        <v>8</v>
      </c>
      <c r="K68" s="67">
        <v>0</v>
      </c>
      <c r="L68" s="67">
        <v>0</v>
      </c>
      <c r="M68" s="67">
        <v>26</v>
      </c>
      <c r="N68" s="67">
        <f t="shared" si="2"/>
        <v>34</v>
      </c>
      <c r="O68" s="67" t="s">
        <v>110</v>
      </c>
      <c r="P68" s="67" t="s">
        <v>110</v>
      </c>
      <c r="Q68" s="67" t="s">
        <v>239</v>
      </c>
      <c r="R68" s="67" t="s">
        <v>240</v>
      </c>
    </row>
    <row r="69" spans="1:18" ht="24" x14ac:dyDescent="0.25">
      <c r="A69" s="69" t="s">
        <v>123</v>
      </c>
      <c r="B69" s="67">
        <v>1</v>
      </c>
      <c r="C69" s="67">
        <f>1+1+1</f>
        <v>3</v>
      </c>
      <c r="D69" s="67">
        <f t="shared" si="0"/>
        <v>4</v>
      </c>
      <c r="E69" s="67">
        <v>0</v>
      </c>
      <c r="F69" s="67">
        <v>1</v>
      </c>
      <c r="G69" s="67">
        <f>1+1</f>
        <v>2</v>
      </c>
      <c r="H69" s="67">
        <v>1</v>
      </c>
      <c r="I69" s="67">
        <f t="shared" si="1"/>
        <v>4</v>
      </c>
      <c r="J69" s="67">
        <v>0</v>
      </c>
      <c r="K69" s="67">
        <v>0</v>
      </c>
      <c r="L69" s="67">
        <v>0</v>
      </c>
      <c r="M69" s="67">
        <v>4</v>
      </c>
      <c r="N69" s="67">
        <f t="shared" si="2"/>
        <v>4</v>
      </c>
      <c r="O69" s="67" t="s">
        <v>115</v>
      </c>
      <c r="P69" s="67" t="s">
        <v>115</v>
      </c>
      <c r="Q69" s="67" t="s">
        <v>248</v>
      </c>
      <c r="R69" s="67" t="s">
        <v>249</v>
      </c>
    </row>
    <row r="70" spans="1:18" ht="24" x14ac:dyDescent="0.25">
      <c r="A70" s="69" t="s">
        <v>123</v>
      </c>
      <c r="B70" s="67">
        <v>3</v>
      </c>
      <c r="C70" s="67">
        <v>1</v>
      </c>
      <c r="D70" s="67">
        <f t="shared" si="0"/>
        <v>4</v>
      </c>
      <c r="E70" s="67">
        <v>0</v>
      </c>
      <c r="F70" s="67">
        <v>0</v>
      </c>
      <c r="G70" s="67">
        <f>3+1</f>
        <v>4</v>
      </c>
      <c r="H70" s="67">
        <v>0</v>
      </c>
      <c r="I70" s="67">
        <f t="shared" si="1"/>
        <v>4</v>
      </c>
      <c r="J70" s="67">
        <v>0</v>
      </c>
      <c r="K70" s="67">
        <v>0</v>
      </c>
      <c r="L70" s="67">
        <v>0</v>
      </c>
      <c r="M70" s="67">
        <v>4</v>
      </c>
      <c r="N70" s="67">
        <f t="shared" si="2"/>
        <v>4</v>
      </c>
      <c r="O70" s="67" t="s">
        <v>115</v>
      </c>
      <c r="P70" s="67" t="s">
        <v>115</v>
      </c>
      <c r="Q70" s="67" t="s">
        <v>250</v>
      </c>
      <c r="R70" s="67" t="s">
        <v>251</v>
      </c>
    </row>
    <row r="71" spans="1:18" ht="24" x14ac:dyDescent="0.25">
      <c r="A71" s="69" t="s">
        <v>123</v>
      </c>
      <c r="B71" s="67">
        <f>3+3</f>
        <v>6</v>
      </c>
      <c r="C71" s="67">
        <v>3</v>
      </c>
      <c r="D71" s="67">
        <f t="shared" ref="D71:D90" si="3">SUM(B71:C71)</f>
        <v>9</v>
      </c>
      <c r="E71" s="67">
        <v>0</v>
      </c>
      <c r="F71" s="67">
        <v>3</v>
      </c>
      <c r="G71" s="67">
        <f>3+3</f>
        <v>6</v>
      </c>
      <c r="H71" s="67">
        <v>0</v>
      </c>
      <c r="I71" s="67">
        <f t="shared" si="1"/>
        <v>9</v>
      </c>
      <c r="J71" s="67">
        <v>0</v>
      </c>
      <c r="K71" s="67">
        <v>0</v>
      </c>
      <c r="L71" s="67">
        <v>0</v>
      </c>
      <c r="M71" s="67">
        <v>9</v>
      </c>
      <c r="N71" s="67">
        <f t="shared" ref="N71:N90" si="4">SUM(J71:M71)</f>
        <v>9</v>
      </c>
      <c r="O71" s="67" t="s">
        <v>115</v>
      </c>
      <c r="P71" s="67" t="s">
        <v>252</v>
      </c>
      <c r="Q71" s="67" t="s">
        <v>253</v>
      </c>
      <c r="R71" s="67" t="s">
        <v>157</v>
      </c>
    </row>
    <row r="72" spans="1:18" ht="24" x14ac:dyDescent="0.25">
      <c r="A72" s="69" t="s">
        <v>123</v>
      </c>
      <c r="B72" s="67">
        <f>2+1</f>
        <v>3</v>
      </c>
      <c r="C72" s="67">
        <v>9</v>
      </c>
      <c r="D72" s="67">
        <f t="shared" si="3"/>
        <v>12</v>
      </c>
      <c r="E72" s="67">
        <v>0</v>
      </c>
      <c r="F72" s="67">
        <v>0</v>
      </c>
      <c r="G72" s="67">
        <f>1+9</f>
        <v>10</v>
      </c>
      <c r="H72" s="67">
        <f>1+1</f>
        <v>2</v>
      </c>
      <c r="I72" s="67">
        <f t="shared" si="1"/>
        <v>12</v>
      </c>
      <c r="J72" s="67">
        <v>0</v>
      </c>
      <c r="K72" s="67">
        <v>0</v>
      </c>
      <c r="L72" s="67">
        <v>0</v>
      </c>
      <c r="M72" s="67">
        <v>12</v>
      </c>
      <c r="N72" s="67">
        <f t="shared" si="4"/>
        <v>12</v>
      </c>
      <c r="O72" s="67" t="s">
        <v>115</v>
      </c>
      <c r="P72" s="67" t="s">
        <v>115</v>
      </c>
      <c r="Q72" s="67" t="s">
        <v>254</v>
      </c>
      <c r="R72" s="67" t="s">
        <v>157</v>
      </c>
    </row>
    <row r="73" spans="1:18" ht="48" x14ac:dyDescent="0.25">
      <c r="A73" s="69" t="s">
        <v>123</v>
      </c>
      <c r="B73" s="67">
        <v>7</v>
      </c>
      <c r="C73" s="67">
        <f>14+15</f>
        <v>29</v>
      </c>
      <c r="D73" s="67">
        <f t="shared" si="3"/>
        <v>36</v>
      </c>
      <c r="E73" s="67">
        <v>0</v>
      </c>
      <c r="F73" s="67">
        <v>14</v>
      </c>
      <c r="G73" s="67">
        <f>7+15</f>
        <v>22</v>
      </c>
      <c r="H73" s="67">
        <v>0</v>
      </c>
      <c r="I73" s="67">
        <f t="shared" si="1"/>
        <v>36</v>
      </c>
      <c r="J73" s="67">
        <v>0</v>
      </c>
      <c r="K73" s="67">
        <v>0</v>
      </c>
      <c r="L73" s="67">
        <v>0</v>
      </c>
      <c r="M73" s="67">
        <v>36</v>
      </c>
      <c r="N73" s="67">
        <f t="shared" si="4"/>
        <v>36</v>
      </c>
      <c r="O73" s="67" t="s">
        <v>115</v>
      </c>
      <c r="P73" s="67" t="s">
        <v>115</v>
      </c>
      <c r="Q73" s="67" t="s">
        <v>255</v>
      </c>
      <c r="R73" s="67" t="s">
        <v>256</v>
      </c>
    </row>
    <row r="74" spans="1:18" ht="36" x14ac:dyDescent="0.25">
      <c r="A74" s="69" t="s">
        <v>123</v>
      </c>
      <c r="B74" s="67">
        <v>3</v>
      </c>
      <c r="C74" s="67">
        <v>0</v>
      </c>
      <c r="D74" s="67">
        <f t="shared" si="3"/>
        <v>3</v>
      </c>
      <c r="E74" s="67">
        <v>0</v>
      </c>
      <c r="F74" s="67">
        <v>1</v>
      </c>
      <c r="G74" s="67">
        <v>2</v>
      </c>
      <c r="H74" s="67">
        <v>0</v>
      </c>
      <c r="I74" s="67">
        <f t="shared" ref="I74:I90" si="5">SUM(E74:H74)</f>
        <v>3</v>
      </c>
      <c r="J74" s="67">
        <v>3</v>
      </c>
      <c r="K74" s="67">
        <v>0</v>
      </c>
      <c r="L74" s="67">
        <v>0</v>
      </c>
      <c r="M74" s="67">
        <v>0</v>
      </c>
      <c r="N74" s="67">
        <f t="shared" si="4"/>
        <v>3</v>
      </c>
      <c r="O74" s="67" t="s">
        <v>111</v>
      </c>
      <c r="P74" s="67" t="s">
        <v>257</v>
      </c>
      <c r="Q74" s="67" t="s">
        <v>258</v>
      </c>
      <c r="R74" s="67" t="s">
        <v>259</v>
      </c>
    </row>
    <row r="75" spans="1:18" ht="48" x14ac:dyDescent="0.25">
      <c r="A75" s="69" t="s">
        <v>123</v>
      </c>
      <c r="B75" s="67">
        <f>3+4</f>
        <v>7</v>
      </c>
      <c r="C75" s="67">
        <f>7+3</f>
        <v>10</v>
      </c>
      <c r="D75" s="67">
        <f t="shared" si="3"/>
        <v>17</v>
      </c>
      <c r="E75" s="67">
        <v>0</v>
      </c>
      <c r="F75" s="67">
        <f>3+7</f>
        <v>10</v>
      </c>
      <c r="G75" s="67">
        <f>4+3</f>
        <v>7</v>
      </c>
      <c r="H75" s="67">
        <v>0</v>
      </c>
      <c r="I75" s="67">
        <f t="shared" si="5"/>
        <v>17</v>
      </c>
      <c r="J75" s="67">
        <v>16</v>
      </c>
      <c r="K75" s="67">
        <v>0</v>
      </c>
      <c r="L75" s="67">
        <v>0</v>
      </c>
      <c r="M75" s="67">
        <v>1</v>
      </c>
      <c r="N75" s="67">
        <f t="shared" si="4"/>
        <v>17</v>
      </c>
      <c r="O75" s="67" t="s">
        <v>111</v>
      </c>
      <c r="P75" s="67" t="s">
        <v>257</v>
      </c>
      <c r="Q75" s="67" t="s">
        <v>260</v>
      </c>
      <c r="R75" s="67" t="s">
        <v>261</v>
      </c>
    </row>
    <row r="76" spans="1:18" ht="60" x14ac:dyDescent="0.25">
      <c r="A76" s="69" t="s">
        <v>123</v>
      </c>
      <c r="B76" s="67">
        <v>1</v>
      </c>
      <c r="C76" s="67">
        <f>2+1</f>
        <v>3</v>
      </c>
      <c r="D76" s="67">
        <f t="shared" si="3"/>
        <v>4</v>
      </c>
      <c r="E76" s="67">
        <v>0</v>
      </c>
      <c r="F76" s="67">
        <f>1+2</f>
        <v>3</v>
      </c>
      <c r="G76" s="67">
        <v>1</v>
      </c>
      <c r="H76" s="67">
        <v>0</v>
      </c>
      <c r="I76" s="67">
        <f t="shared" si="5"/>
        <v>4</v>
      </c>
      <c r="J76" s="67">
        <v>3</v>
      </c>
      <c r="K76" s="67">
        <v>0</v>
      </c>
      <c r="L76" s="67">
        <v>0</v>
      </c>
      <c r="M76" s="67">
        <v>1</v>
      </c>
      <c r="N76" s="67">
        <f t="shared" si="4"/>
        <v>4</v>
      </c>
      <c r="O76" s="67" t="s">
        <v>111</v>
      </c>
      <c r="P76" s="67" t="s">
        <v>257</v>
      </c>
      <c r="Q76" s="67" t="s">
        <v>262</v>
      </c>
      <c r="R76" s="67" t="s">
        <v>263</v>
      </c>
    </row>
    <row r="77" spans="1:18" ht="24" x14ac:dyDescent="0.25">
      <c r="A77" s="69" t="s">
        <v>123</v>
      </c>
      <c r="B77" s="67">
        <v>0</v>
      </c>
      <c r="C77" s="67">
        <f>1+6</f>
        <v>7</v>
      </c>
      <c r="D77" s="67">
        <f t="shared" si="3"/>
        <v>7</v>
      </c>
      <c r="E77" s="67">
        <v>0</v>
      </c>
      <c r="F77" s="67">
        <v>1</v>
      </c>
      <c r="G77" s="67">
        <v>6</v>
      </c>
      <c r="H77" s="67">
        <v>0</v>
      </c>
      <c r="I77" s="67">
        <f t="shared" si="5"/>
        <v>7</v>
      </c>
      <c r="J77" s="67">
        <v>6</v>
      </c>
      <c r="K77" s="67">
        <v>0</v>
      </c>
      <c r="L77" s="67">
        <v>0</v>
      </c>
      <c r="M77" s="67">
        <v>1</v>
      </c>
      <c r="N77" s="67">
        <f t="shared" si="4"/>
        <v>7</v>
      </c>
      <c r="O77" s="67" t="s">
        <v>111</v>
      </c>
      <c r="P77" s="67" t="s">
        <v>257</v>
      </c>
      <c r="Q77" s="67" t="s">
        <v>264</v>
      </c>
      <c r="R77" s="67" t="s">
        <v>265</v>
      </c>
    </row>
    <row r="78" spans="1:18" ht="36" x14ac:dyDescent="0.25">
      <c r="A78" s="69" t="s">
        <v>123</v>
      </c>
      <c r="B78" s="67">
        <v>2</v>
      </c>
      <c r="C78" s="67">
        <f>5+1</f>
        <v>6</v>
      </c>
      <c r="D78" s="67">
        <f t="shared" si="3"/>
        <v>8</v>
      </c>
      <c r="E78" s="67">
        <v>0</v>
      </c>
      <c r="F78" s="67">
        <v>0</v>
      </c>
      <c r="G78" s="67">
        <f>2+5</f>
        <v>7</v>
      </c>
      <c r="H78" s="67">
        <v>1</v>
      </c>
      <c r="I78" s="67">
        <f t="shared" si="5"/>
        <v>8</v>
      </c>
      <c r="J78" s="67">
        <v>0</v>
      </c>
      <c r="K78" s="67">
        <v>0</v>
      </c>
      <c r="L78" s="67">
        <v>0</v>
      </c>
      <c r="M78" s="67">
        <v>8</v>
      </c>
      <c r="N78" s="67">
        <f t="shared" si="4"/>
        <v>8</v>
      </c>
      <c r="O78" s="67" t="s">
        <v>111</v>
      </c>
      <c r="P78" s="67" t="s">
        <v>257</v>
      </c>
      <c r="Q78" s="67" t="s">
        <v>266</v>
      </c>
      <c r="R78" s="67" t="s">
        <v>267</v>
      </c>
    </row>
    <row r="79" spans="1:18" ht="24" x14ac:dyDescent="0.25">
      <c r="A79" s="69" t="s">
        <v>123</v>
      </c>
      <c r="B79" s="67">
        <v>0</v>
      </c>
      <c r="C79" s="67">
        <v>2</v>
      </c>
      <c r="D79" s="67">
        <f t="shared" si="3"/>
        <v>2</v>
      </c>
      <c r="E79" s="67">
        <v>0</v>
      </c>
      <c r="F79" s="67">
        <v>2</v>
      </c>
      <c r="G79" s="67">
        <v>0</v>
      </c>
      <c r="H79" s="67">
        <v>0</v>
      </c>
      <c r="I79" s="67">
        <f t="shared" si="5"/>
        <v>2</v>
      </c>
      <c r="J79" s="67">
        <v>0</v>
      </c>
      <c r="K79" s="67">
        <v>0</v>
      </c>
      <c r="L79" s="67">
        <v>0</v>
      </c>
      <c r="M79" s="67">
        <v>2</v>
      </c>
      <c r="N79" s="67">
        <f t="shared" si="4"/>
        <v>2</v>
      </c>
      <c r="O79" s="67" t="s">
        <v>111</v>
      </c>
      <c r="P79" s="67" t="s">
        <v>257</v>
      </c>
      <c r="Q79" s="67" t="s">
        <v>268</v>
      </c>
      <c r="R79" s="67" t="s">
        <v>269</v>
      </c>
    </row>
    <row r="80" spans="1:18" ht="24" x14ac:dyDescent="0.25">
      <c r="A80" s="69" t="s">
        <v>123</v>
      </c>
      <c r="B80" s="67">
        <v>0</v>
      </c>
      <c r="C80" s="67">
        <v>5</v>
      </c>
      <c r="D80" s="67">
        <f t="shared" si="3"/>
        <v>5</v>
      </c>
      <c r="E80" s="67">
        <v>0</v>
      </c>
      <c r="F80" s="67">
        <v>0</v>
      </c>
      <c r="G80" s="67">
        <v>5</v>
      </c>
      <c r="H80" s="67">
        <v>0</v>
      </c>
      <c r="I80" s="67">
        <f t="shared" si="5"/>
        <v>5</v>
      </c>
      <c r="J80" s="67">
        <v>4</v>
      </c>
      <c r="K80" s="67">
        <v>0</v>
      </c>
      <c r="L80" s="67">
        <v>0</v>
      </c>
      <c r="M80" s="67">
        <v>1</v>
      </c>
      <c r="N80" s="67">
        <f t="shared" si="4"/>
        <v>5</v>
      </c>
      <c r="O80" s="67" t="s">
        <v>111</v>
      </c>
      <c r="P80" s="67" t="s">
        <v>257</v>
      </c>
      <c r="Q80" s="67" t="s">
        <v>270</v>
      </c>
      <c r="R80" s="67" t="s">
        <v>271</v>
      </c>
    </row>
    <row r="81" spans="1:18" ht="24" x14ac:dyDescent="0.25">
      <c r="A81" s="69" t="s">
        <v>123</v>
      </c>
      <c r="B81" s="67">
        <v>1</v>
      </c>
      <c r="C81" s="67">
        <f>1+2</f>
        <v>3</v>
      </c>
      <c r="D81" s="67">
        <f t="shared" si="3"/>
        <v>4</v>
      </c>
      <c r="E81" s="67">
        <v>0</v>
      </c>
      <c r="F81" s="67">
        <f>1+1</f>
        <v>2</v>
      </c>
      <c r="G81" s="67">
        <v>2</v>
      </c>
      <c r="H81" s="67">
        <v>0</v>
      </c>
      <c r="I81" s="67">
        <f t="shared" si="5"/>
        <v>4</v>
      </c>
      <c r="J81" s="67">
        <v>0</v>
      </c>
      <c r="K81" s="67">
        <v>0</v>
      </c>
      <c r="L81" s="67">
        <v>0</v>
      </c>
      <c r="M81" s="67">
        <v>4</v>
      </c>
      <c r="N81" s="67">
        <f t="shared" si="4"/>
        <v>4</v>
      </c>
      <c r="O81" s="67" t="s">
        <v>111</v>
      </c>
      <c r="P81" s="67" t="s">
        <v>257</v>
      </c>
      <c r="Q81" s="67" t="s">
        <v>272</v>
      </c>
      <c r="R81" s="67" t="s">
        <v>273</v>
      </c>
    </row>
    <row r="82" spans="1:18" ht="24" x14ac:dyDescent="0.25">
      <c r="A82" s="69" t="s">
        <v>123</v>
      </c>
      <c r="B82" s="67">
        <v>0</v>
      </c>
      <c r="C82" s="67">
        <v>1</v>
      </c>
      <c r="D82" s="67">
        <f t="shared" si="3"/>
        <v>1</v>
      </c>
      <c r="E82" s="67">
        <v>0</v>
      </c>
      <c r="F82" s="67">
        <v>0</v>
      </c>
      <c r="G82" s="67">
        <v>0</v>
      </c>
      <c r="H82" s="67">
        <v>1</v>
      </c>
      <c r="I82" s="67">
        <f t="shared" si="5"/>
        <v>1</v>
      </c>
      <c r="J82" s="67">
        <v>0</v>
      </c>
      <c r="K82" s="67">
        <v>0</v>
      </c>
      <c r="L82" s="67">
        <v>0</v>
      </c>
      <c r="M82" s="67">
        <v>1</v>
      </c>
      <c r="N82" s="67">
        <f t="shared" si="4"/>
        <v>1</v>
      </c>
      <c r="O82" s="67" t="s">
        <v>111</v>
      </c>
      <c r="P82" s="67" t="s">
        <v>257</v>
      </c>
      <c r="Q82" s="67" t="s">
        <v>274</v>
      </c>
      <c r="R82" s="67" t="s">
        <v>275</v>
      </c>
    </row>
    <row r="83" spans="1:18" ht="48" x14ac:dyDescent="0.25">
      <c r="A83" s="69" t="s">
        <v>123</v>
      </c>
      <c r="B83" s="67">
        <v>1</v>
      </c>
      <c r="C83" s="67">
        <v>1</v>
      </c>
      <c r="D83" s="67">
        <f t="shared" si="3"/>
        <v>2</v>
      </c>
      <c r="E83" s="67">
        <v>0</v>
      </c>
      <c r="F83" s="67">
        <f>1+1</f>
        <v>2</v>
      </c>
      <c r="G83" s="67">
        <v>0</v>
      </c>
      <c r="H83" s="67">
        <v>0</v>
      </c>
      <c r="I83" s="67">
        <f t="shared" si="5"/>
        <v>2</v>
      </c>
      <c r="J83" s="67">
        <v>1</v>
      </c>
      <c r="K83" s="67">
        <v>0</v>
      </c>
      <c r="L83" s="67">
        <v>0</v>
      </c>
      <c r="M83" s="67">
        <v>1</v>
      </c>
      <c r="N83" s="67">
        <f t="shared" si="4"/>
        <v>2</v>
      </c>
      <c r="O83" s="67" t="s">
        <v>111</v>
      </c>
      <c r="P83" s="67" t="s">
        <v>257</v>
      </c>
      <c r="Q83" s="67" t="s">
        <v>276</v>
      </c>
      <c r="R83" s="67" t="s">
        <v>277</v>
      </c>
    </row>
    <row r="84" spans="1:18" ht="36" x14ac:dyDescent="0.25">
      <c r="A84" s="69" t="s">
        <v>123</v>
      </c>
      <c r="B84" s="67">
        <v>0</v>
      </c>
      <c r="C84" s="67">
        <f>1+1</f>
        <v>2</v>
      </c>
      <c r="D84" s="67">
        <f t="shared" si="3"/>
        <v>2</v>
      </c>
      <c r="E84" s="67">
        <v>0</v>
      </c>
      <c r="F84" s="67">
        <v>1</v>
      </c>
      <c r="G84" s="67">
        <v>1</v>
      </c>
      <c r="H84" s="67">
        <v>0</v>
      </c>
      <c r="I84" s="67">
        <f t="shared" si="5"/>
        <v>2</v>
      </c>
      <c r="J84" s="67">
        <v>2</v>
      </c>
      <c r="K84" s="67">
        <v>0</v>
      </c>
      <c r="L84" s="67">
        <v>0</v>
      </c>
      <c r="M84" s="67">
        <v>0</v>
      </c>
      <c r="N84" s="67">
        <f t="shared" si="4"/>
        <v>2</v>
      </c>
      <c r="O84" s="67" t="s">
        <v>111</v>
      </c>
      <c r="P84" s="67" t="s">
        <v>257</v>
      </c>
      <c r="Q84" s="67" t="s">
        <v>278</v>
      </c>
      <c r="R84" s="67" t="s">
        <v>279</v>
      </c>
    </row>
    <row r="85" spans="1:18" ht="24" x14ac:dyDescent="0.25">
      <c r="A85" s="69" t="s">
        <v>123</v>
      </c>
      <c r="B85" s="67">
        <f>1+2</f>
        <v>3</v>
      </c>
      <c r="C85" s="67">
        <v>3</v>
      </c>
      <c r="D85" s="67">
        <f t="shared" si="3"/>
        <v>6</v>
      </c>
      <c r="E85" s="67">
        <v>0</v>
      </c>
      <c r="F85" s="67">
        <v>1</v>
      </c>
      <c r="G85" s="67">
        <f>2+3</f>
        <v>5</v>
      </c>
      <c r="H85" s="67">
        <v>0</v>
      </c>
      <c r="I85" s="67">
        <f t="shared" si="5"/>
        <v>6</v>
      </c>
      <c r="J85" s="67">
        <v>1</v>
      </c>
      <c r="K85" s="67">
        <v>0</v>
      </c>
      <c r="L85" s="67">
        <v>0</v>
      </c>
      <c r="M85" s="67">
        <v>5</v>
      </c>
      <c r="N85" s="67">
        <f t="shared" si="4"/>
        <v>6</v>
      </c>
      <c r="O85" s="67" t="s">
        <v>111</v>
      </c>
      <c r="P85" s="67" t="s">
        <v>257</v>
      </c>
      <c r="Q85" s="67" t="s">
        <v>280</v>
      </c>
      <c r="R85" s="67" t="s">
        <v>281</v>
      </c>
    </row>
    <row r="86" spans="1:18" ht="24" x14ac:dyDescent="0.25">
      <c r="A86" s="69" t="s">
        <v>134</v>
      </c>
      <c r="B86" s="67">
        <v>0</v>
      </c>
      <c r="C86" s="67">
        <f>57+109+14</f>
        <v>180</v>
      </c>
      <c r="D86" s="67">
        <f t="shared" si="3"/>
        <v>180</v>
      </c>
      <c r="E86" s="67">
        <v>0</v>
      </c>
      <c r="F86" s="67">
        <v>57</v>
      </c>
      <c r="G86" s="67">
        <v>109</v>
      </c>
      <c r="H86" s="67">
        <v>14</v>
      </c>
      <c r="I86" s="67">
        <f t="shared" si="5"/>
        <v>180</v>
      </c>
      <c r="J86" s="67">
        <v>180</v>
      </c>
      <c r="K86" s="67">
        <v>0</v>
      </c>
      <c r="L86" s="67">
        <v>0</v>
      </c>
      <c r="M86" s="67">
        <v>0</v>
      </c>
      <c r="N86" s="67">
        <f t="shared" si="4"/>
        <v>180</v>
      </c>
      <c r="O86" s="67" t="s">
        <v>111</v>
      </c>
      <c r="P86" s="67" t="s">
        <v>294</v>
      </c>
      <c r="Q86" s="67" t="s">
        <v>282</v>
      </c>
      <c r="R86" s="67" t="s">
        <v>283</v>
      </c>
    </row>
    <row r="87" spans="1:18" ht="36" x14ac:dyDescent="0.25">
      <c r="A87" s="69" t="s">
        <v>134</v>
      </c>
      <c r="B87" s="67">
        <f>5+2</f>
        <v>7</v>
      </c>
      <c r="C87" s="67">
        <f>5+9</f>
        <v>14</v>
      </c>
      <c r="D87" s="67">
        <f t="shared" si="3"/>
        <v>21</v>
      </c>
      <c r="E87" s="67">
        <v>5</v>
      </c>
      <c r="F87" s="67">
        <f>5+9</f>
        <v>14</v>
      </c>
      <c r="G87" s="67">
        <v>2</v>
      </c>
      <c r="H87" s="67">
        <v>0</v>
      </c>
      <c r="I87" s="67">
        <f t="shared" si="5"/>
        <v>21</v>
      </c>
      <c r="J87" s="67">
        <v>20</v>
      </c>
      <c r="K87" s="67">
        <v>1</v>
      </c>
      <c r="L87" s="67">
        <v>0</v>
      </c>
      <c r="M87" s="67">
        <v>0</v>
      </c>
      <c r="N87" s="67">
        <f t="shared" si="4"/>
        <v>21</v>
      </c>
      <c r="O87" s="67" t="s">
        <v>111</v>
      </c>
      <c r="P87" s="67" t="s">
        <v>257</v>
      </c>
      <c r="Q87" s="67" t="s">
        <v>284</v>
      </c>
      <c r="R87" s="67" t="s">
        <v>285</v>
      </c>
    </row>
    <row r="88" spans="1:18" ht="24" x14ac:dyDescent="0.25">
      <c r="A88" s="69" t="s">
        <v>123</v>
      </c>
      <c r="B88" s="67">
        <v>2</v>
      </c>
      <c r="C88" s="67">
        <f>6+9+4</f>
        <v>19</v>
      </c>
      <c r="D88" s="67">
        <f t="shared" si="3"/>
        <v>21</v>
      </c>
      <c r="E88" s="67">
        <v>0</v>
      </c>
      <c r="F88" s="67">
        <v>6</v>
      </c>
      <c r="G88" s="67">
        <v>9</v>
      </c>
      <c r="H88" s="67">
        <f>2+4</f>
        <v>6</v>
      </c>
      <c r="I88" s="67">
        <f t="shared" si="5"/>
        <v>21</v>
      </c>
      <c r="J88" s="67">
        <v>21</v>
      </c>
      <c r="K88" s="67">
        <v>0</v>
      </c>
      <c r="L88" s="67">
        <v>0</v>
      </c>
      <c r="M88" s="67">
        <v>0</v>
      </c>
      <c r="N88" s="67">
        <f t="shared" si="4"/>
        <v>21</v>
      </c>
      <c r="O88" s="67" t="s">
        <v>111</v>
      </c>
      <c r="P88" s="67" t="s">
        <v>286</v>
      </c>
      <c r="Q88" s="67" t="s">
        <v>287</v>
      </c>
      <c r="R88" s="67" t="s">
        <v>287</v>
      </c>
    </row>
    <row r="89" spans="1:18" ht="48" x14ac:dyDescent="0.25">
      <c r="A89" s="69" t="s">
        <v>123</v>
      </c>
      <c r="B89" s="67">
        <v>0</v>
      </c>
      <c r="C89" s="67">
        <v>3</v>
      </c>
      <c r="D89" s="67">
        <f t="shared" si="3"/>
        <v>3</v>
      </c>
      <c r="E89" s="67">
        <v>0</v>
      </c>
      <c r="F89" s="67">
        <f>0+3</f>
        <v>3</v>
      </c>
      <c r="G89" s="67">
        <v>0</v>
      </c>
      <c r="H89" s="67">
        <v>0</v>
      </c>
      <c r="I89" s="67">
        <f t="shared" si="5"/>
        <v>3</v>
      </c>
      <c r="J89" s="67">
        <v>1</v>
      </c>
      <c r="K89" s="67">
        <v>0</v>
      </c>
      <c r="L89" s="67">
        <v>0</v>
      </c>
      <c r="M89" s="67">
        <v>2</v>
      </c>
      <c r="N89" s="67">
        <f t="shared" si="4"/>
        <v>3</v>
      </c>
      <c r="O89" s="67" t="s">
        <v>111</v>
      </c>
      <c r="P89" s="67" t="s">
        <v>257</v>
      </c>
      <c r="Q89" s="67" t="s">
        <v>288</v>
      </c>
      <c r="R89" s="67" t="s">
        <v>289</v>
      </c>
    </row>
    <row r="90" spans="1:18" ht="24" x14ac:dyDescent="0.25">
      <c r="A90" s="69" t="s">
        <v>123</v>
      </c>
      <c r="B90" s="67">
        <v>0</v>
      </c>
      <c r="C90" s="67">
        <f>1+3</f>
        <v>4</v>
      </c>
      <c r="D90" s="67">
        <f t="shared" si="3"/>
        <v>4</v>
      </c>
      <c r="E90" s="67">
        <v>0</v>
      </c>
      <c r="F90" s="67">
        <v>1</v>
      </c>
      <c r="G90" s="67">
        <v>3</v>
      </c>
      <c r="H90" s="67">
        <v>0</v>
      </c>
      <c r="I90" s="67">
        <f t="shared" si="5"/>
        <v>4</v>
      </c>
      <c r="J90" s="67">
        <v>3</v>
      </c>
      <c r="K90" s="67">
        <v>0</v>
      </c>
      <c r="L90" s="67">
        <v>0</v>
      </c>
      <c r="M90" s="67">
        <v>1</v>
      </c>
      <c r="N90" s="67">
        <f t="shared" si="4"/>
        <v>4</v>
      </c>
      <c r="O90" s="67" t="s">
        <v>111</v>
      </c>
      <c r="P90" s="67" t="s">
        <v>257</v>
      </c>
      <c r="Q90" s="67" t="s">
        <v>290</v>
      </c>
      <c r="R90" s="67" t="s">
        <v>291</v>
      </c>
    </row>
  </sheetData>
  <mergeCells count="2">
    <mergeCell ref="A1:F1"/>
    <mergeCell ref="A2:F2"/>
  </mergeCells>
  <pageMargins left="0.7" right="0.7" top="0.75" bottom="0.75" header="0.3" footer="0.3"/>
  <pageSetup paperSize="1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08628F-57FB-4678-943A-AFF732E04C25}">
  <dimension ref="A1:S51"/>
  <sheetViews>
    <sheetView topLeftCell="B3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5.425781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s="14" customFormat="1" ht="48" thickBot="1" x14ac:dyDescent="0.3">
      <c r="A4" s="9" t="s">
        <v>7</v>
      </c>
      <c r="B4" s="10" t="s">
        <v>17</v>
      </c>
      <c r="C4" s="9" t="s">
        <v>10</v>
      </c>
      <c r="D4" s="9" t="s">
        <v>9</v>
      </c>
      <c r="E4" s="11" t="s">
        <v>8</v>
      </c>
      <c r="F4" s="12" t="s">
        <v>0</v>
      </c>
      <c r="G4" s="12" t="s">
        <v>18</v>
      </c>
      <c r="H4" s="12" t="s">
        <v>5</v>
      </c>
      <c r="I4" s="12" t="s">
        <v>1</v>
      </c>
      <c r="J4" s="13" t="s">
        <v>8</v>
      </c>
      <c r="K4" s="9" t="s">
        <v>2</v>
      </c>
      <c r="L4" s="9" t="s">
        <v>3</v>
      </c>
      <c r="M4" s="9" t="s">
        <v>19</v>
      </c>
      <c r="N4" s="9" t="s">
        <v>4</v>
      </c>
      <c r="O4" s="11" t="s">
        <v>8</v>
      </c>
      <c r="P4" s="12" t="s">
        <v>11</v>
      </c>
      <c r="Q4" s="12" t="s">
        <v>12</v>
      </c>
      <c r="R4" s="12" t="s">
        <v>13</v>
      </c>
      <c r="S4" s="12" t="s">
        <v>14</v>
      </c>
    </row>
    <row r="5" spans="1:19" s="24" customFormat="1" ht="81" customHeight="1" x14ac:dyDescent="0.25">
      <c r="A5" s="15"/>
      <c r="B5" s="16" t="s">
        <v>25</v>
      </c>
      <c r="C5" s="17">
        <v>100</v>
      </c>
      <c r="D5" s="18">
        <v>150</v>
      </c>
      <c r="E5" s="19">
        <v>250</v>
      </c>
      <c r="F5" s="20">
        <v>100</v>
      </c>
      <c r="G5" s="21">
        <v>150</v>
      </c>
      <c r="H5" s="21"/>
      <c r="I5" s="21"/>
      <c r="J5" s="8">
        <v>250</v>
      </c>
      <c r="K5" s="20"/>
      <c r="L5" s="21"/>
      <c r="M5" s="21"/>
      <c r="N5" s="21">
        <v>250</v>
      </c>
      <c r="O5" s="8">
        <v>250</v>
      </c>
      <c r="P5" s="20" t="s">
        <v>23</v>
      </c>
      <c r="Q5" s="21" t="s">
        <v>26</v>
      </c>
      <c r="R5" s="22" t="s">
        <v>27</v>
      </c>
      <c r="S5" s="23" t="s">
        <v>28</v>
      </c>
    </row>
    <row r="6" spans="1:19" s="24" customFormat="1" ht="84" customHeight="1" x14ac:dyDescent="0.25">
      <c r="A6" s="15"/>
      <c r="B6" s="25" t="s">
        <v>29</v>
      </c>
      <c r="C6" s="17">
        <v>125</v>
      </c>
      <c r="D6" s="18">
        <v>175</v>
      </c>
      <c r="E6" s="19">
        <v>300</v>
      </c>
      <c r="F6" s="20"/>
      <c r="G6" s="21">
        <v>35</v>
      </c>
      <c r="H6" s="21">
        <v>115</v>
      </c>
      <c r="I6" s="21">
        <v>150</v>
      </c>
      <c r="J6" s="8">
        <v>300</v>
      </c>
      <c r="K6" s="20"/>
      <c r="L6" s="21"/>
      <c r="M6" s="21"/>
      <c r="N6" s="21">
        <v>300</v>
      </c>
      <c r="O6" s="8">
        <v>300</v>
      </c>
      <c r="P6" s="20" t="s">
        <v>23</v>
      </c>
      <c r="Q6" s="21" t="s">
        <v>26</v>
      </c>
      <c r="R6" s="22" t="s">
        <v>27</v>
      </c>
      <c r="S6" s="23" t="s">
        <v>26</v>
      </c>
    </row>
    <row r="7" spans="1:19" ht="96" customHeight="1" x14ac:dyDescent="0.25">
      <c r="A7" s="26"/>
      <c r="B7" s="27" t="s">
        <v>30</v>
      </c>
      <c r="C7" s="28">
        <v>38</v>
      </c>
      <c r="D7" s="8">
        <v>62</v>
      </c>
      <c r="E7" s="8">
        <v>100</v>
      </c>
      <c r="F7" s="29"/>
      <c r="G7" s="8">
        <v>38</v>
      </c>
      <c r="H7" s="8">
        <v>52</v>
      </c>
      <c r="I7" s="8">
        <v>10</v>
      </c>
      <c r="J7" s="8">
        <v>100</v>
      </c>
      <c r="K7" s="29"/>
      <c r="L7" s="1"/>
      <c r="M7" s="1"/>
      <c r="N7" s="8">
        <v>100</v>
      </c>
      <c r="O7" s="8">
        <v>100</v>
      </c>
      <c r="P7" s="28" t="s">
        <v>23</v>
      </c>
      <c r="Q7" s="25" t="s">
        <v>21</v>
      </c>
      <c r="R7" s="8" t="s">
        <v>31</v>
      </c>
      <c r="S7" s="30" t="s">
        <v>32</v>
      </c>
    </row>
    <row r="8" spans="1:19" ht="75.75" customHeight="1" x14ac:dyDescent="0.25">
      <c r="A8" s="26"/>
      <c r="B8" s="25" t="s">
        <v>33</v>
      </c>
      <c r="C8" s="28">
        <v>76</v>
      </c>
      <c r="D8" s="8">
        <v>119</v>
      </c>
      <c r="E8" s="8">
        <v>195</v>
      </c>
      <c r="F8" s="29"/>
      <c r="G8" s="1"/>
      <c r="H8" s="8">
        <v>150</v>
      </c>
      <c r="I8" s="8">
        <v>45</v>
      </c>
      <c r="J8" s="8">
        <v>195</v>
      </c>
      <c r="K8" s="28"/>
      <c r="L8" s="8"/>
      <c r="M8" s="8"/>
      <c r="N8" s="8">
        <v>195</v>
      </c>
      <c r="O8" s="8">
        <v>195</v>
      </c>
      <c r="P8" s="28" t="s">
        <v>23</v>
      </c>
      <c r="Q8" s="21" t="s">
        <v>26</v>
      </c>
      <c r="R8" s="25" t="s">
        <v>34</v>
      </c>
      <c r="S8" s="25" t="s">
        <v>35</v>
      </c>
    </row>
    <row r="9" spans="1:19" ht="95.25" customHeight="1" x14ac:dyDescent="0.25">
      <c r="A9" s="26"/>
      <c r="B9" s="25" t="s">
        <v>36</v>
      </c>
      <c r="C9" s="28">
        <v>125</v>
      </c>
      <c r="D9" s="8">
        <v>150</v>
      </c>
      <c r="E9" s="8">
        <v>275</v>
      </c>
      <c r="F9" s="8">
        <v>70</v>
      </c>
      <c r="G9" s="8">
        <v>107</v>
      </c>
      <c r="H9" s="8">
        <v>63</v>
      </c>
      <c r="I9" s="8">
        <v>30</v>
      </c>
      <c r="J9" s="8">
        <v>275</v>
      </c>
      <c r="K9" s="29"/>
      <c r="L9" s="1"/>
      <c r="M9" s="1"/>
      <c r="N9" s="8">
        <v>275</v>
      </c>
      <c r="O9" s="8">
        <v>275</v>
      </c>
      <c r="P9" s="28" t="s">
        <v>21</v>
      </c>
      <c r="Q9" s="8" t="s">
        <v>37</v>
      </c>
      <c r="R9" s="8" t="s">
        <v>38</v>
      </c>
      <c r="S9" s="30" t="s">
        <v>32</v>
      </c>
    </row>
    <row r="10" spans="1:19" ht="69" customHeight="1" x14ac:dyDescent="0.25">
      <c r="A10" s="26"/>
      <c r="B10" s="25" t="s">
        <v>39</v>
      </c>
      <c r="C10" s="28">
        <v>50</v>
      </c>
      <c r="D10" s="8">
        <v>160</v>
      </c>
      <c r="E10" s="8">
        <v>210</v>
      </c>
      <c r="F10" s="29"/>
      <c r="G10" s="8">
        <v>110</v>
      </c>
      <c r="H10" s="8">
        <v>90</v>
      </c>
      <c r="I10" s="1"/>
      <c r="J10" s="8">
        <v>210</v>
      </c>
      <c r="K10" s="28"/>
      <c r="L10" s="8"/>
      <c r="M10" s="8"/>
      <c r="N10" s="8">
        <v>210</v>
      </c>
      <c r="O10" s="8">
        <v>210</v>
      </c>
      <c r="P10" s="28" t="s">
        <v>23</v>
      </c>
      <c r="Q10" s="8" t="s">
        <v>23</v>
      </c>
      <c r="R10" s="25" t="s">
        <v>40</v>
      </c>
      <c r="S10" s="31" t="s">
        <v>41</v>
      </c>
    </row>
    <row r="11" spans="1:19" ht="69" customHeight="1" x14ac:dyDescent="0.25">
      <c r="A11" s="26"/>
      <c r="B11" s="25" t="s">
        <v>42</v>
      </c>
      <c r="C11" s="29"/>
      <c r="D11" s="8">
        <v>120</v>
      </c>
      <c r="E11" s="8">
        <v>120</v>
      </c>
      <c r="F11" s="29"/>
      <c r="G11" s="8"/>
      <c r="H11" s="8">
        <v>120</v>
      </c>
      <c r="I11" s="1"/>
      <c r="J11" s="8">
        <v>120</v>
      </c>
      <c r="K11" s="28"/>
      <c r="L11" s="8"/>
      <c r="M11" s="8"/>
      <c r="N11" s="8">
        <v>120</v>
      </c>
      <c r="O11" s="8">
        <v>120</v>
      </c>
      <c r="P11" s="28" t="s">
        <v>22</v>
      </c>
      <c r="Q11" s="25" t="s">
        <v>43</v>
      </c>
      <c r="R11" s="25" t="s">
        <v>44</v>
      </c>
      <c r="S11" s="31" t="s">
        <v>45</v>
      </c>
    </row>
    <row r="12" spans="1:19" ht="69" customHeight="1" x14ac:dyDescent="0.25">
      <c r="A12" s="26"/>
      <c r="B12" s="25" t="s">
        <v>46</v>
      </c>
      <c r="C12" s="28">
        <v>123</v>
      </c>
      <c r="D12" s="8">
        <v>137</v>
      </c>
      <c r="E12" s="8">
        <v>260</v>
      </c>
      <c r="F12" s="29"/>
      <c r="G12" s="8">
        <v>260</v>
      </c>
      <c r="H12" s="1"/>
      <c r="I12" s="1"/>
      <c r="J12" s="8">
        <v>260</v>
      </c>
      <c r="K12" s="28"/>
      <c r="L12" s="8"/>
      <c r="M12" s="8"/>
      <c r="N12" s="8">
        <v>260</v>
      </c>
      <c r="O12" s="8">
        <v>260</v>
      </c>
      <c r="P12" s="28" t="s">
        <v>21</v>
      </c>
      <c r="Q12" s="8" t="s">
        <v>21</v>
      </c>
      <c r="R12" s="25" t="s">
        <v>47</v>
      </c>
      <c r="S12" s="31" t="s">
        <v>48</v>
      </c>
    </row>
    <row r="13" spans="1:19" s="24" customFormat="1" ht="69" customHeight="1" x14ac:dyDescent="0.25">
      <c r="A13" s="15"/>
      <c r="B13" s="25" t="s">
        <v>49</v>
      </c>
      <c r="C13" s="28">
        <v>58</v>
      </c>
      <c r="D13" s="8">
        <v>92</v>
      </c>
      <c r="E13" s="8">
        <v>150</v>
      </c>
      <c r="F13" s="28"/>
      <c r="G13" s="8">
        <v>150</v>
      </c>
      <c r="H13" s="8"/>
      <c r="I13" s="8"/>
      <c r="J13" s="8">
        <v>150</v>
      </c>
      <c r="K13" s="28"/>
      <c r="L13" s="8"/>
      <c r="M13" s="8"/>
      <c r="N13" s="8">
        <v>150</v>
      </c>
      <c r="O13" s="8">
        <v>150</v>
      </c>
      <c r="P13" s="28" t="s">
        <v>22</v>
      </c>
      <c r="Q13" s="8" t="s">
        <v>22</v>
      </c>
      <c r="R13" s="8" t="s">
        <v>50</v>
      </c>
      <c r="S13" s="31" t="s">
        <v>51</v>
      </c>
    </row>
    <row r="14" spans="1:19" s="24" customFormat="1" ht="69" customHeight="1" x14ac:dyDescent="0.25">
      <c r="A14" s="15"/>
      <c r="B14" s="25" t="s">
        <v>52</v>
      </c>
      <c r="C14" s="28">
        <v>47</v>
      </c>
      <c r="D14" s="8">
        <v>58</v>
      </c>
      <c r="E14" s="8">
        <v>105</v>
      </c>
      <c r="F14" s="28">
        <v>105</v>
      </c>
      <c r="G14" s="8"/>
      <c r="H14" s="8"/>
      <c r="I14" s="8"/>
      <c r="J14" s="8">
        <v>105</v>
      </c>
      <c r="K14" s="28"/>
      <c r="L14" s="8"/>
      <c r="M14" s="8"/>
      <c r="N14" s="8">
        <v>105</v>
      </c>
      <c r="O14" s="8">
        <v>105</v>
      </c>
      <c r="P14" s="28" t="s">
        <v>24</v>
      </c>
      <c r="Q14" s="8" t="s">
        <v>53</v>
      </c>
      <c r="R14" s="8" t="s">
        <v>54</v>
      </c>
      <c r="S14" s="32" t="s">
        <v>55</v>
      </c>
    </row>
    <row r="15" spans="1:19" ht="51" customHeight="1" x14ac:dyDescent="0.25">
      <c r="A15" s="26"/>
      <c r="B15" s="25" t="s">
        <v>56</v>
      </c>
      <c r="C15" s="28">
        <v>125</v>
      </c>
      <c r="D15" s="8">
        <v>230</v>
      </c>
      <c r="E15" s="8">
        <v>355</v>
      </c>
      <c r="F15" s="29"/>
      <c r="G15" s="8">
        <v>355</v>
      </c>
      <c r="H15" s="8"/>
      <c r="I15" s="8"/>
      <c r="J15" s="8">
        <v>355</v>
      </c>
      <c r="K15" s="28"/>
      <c r="L15" s="8"/>
      <c r="M15" s="8">
        <v>355</v>
      </c>
      <c r="N15" s="8"/>
      <c r="O15" s="8">
        <v>355</v>
      </c>
      <c r="P15" s="28" t="s">
        <v>57</v>
      </c>
      <c r="Q15" s="8" t="s">
        <v>57</v>
      </c>
      <c r="R15" s="25" t="s">
        <v>58</v>
      </c>
      <c r="S15" s="31" t="s">
        <v>59</v>
      </c>
    </row>
    <row r="16" spans="1:19" ht="51" customHeight="1" x14ac:dyDescent="0.25">
      <c r="A16" s="26"/>
      <c r="B16" s="25" t="s">
        <v>60</v>
      </c>
      <c r="C16" s="29"/>
      <c r="D16" s="8">
        <v>105</v>
      </c>
      <c r="E16" s="8">
        <v>105</v>
      </c>
      <c r="F16" s="29"/>
      <c r="G16" s="1"/>
      <c r="H16" s="8">
        <v>105</v>
      </c>
      <c r="I16" s="1"/>
      <c r="J16" s="8">
        <v>105</v>
      </c>
      <c r="K16" s="28"/>
      <c r="L16" s="8"/>
      <c r="M16" s="8"/>
      <c r="N16" s="8">
        <v>105</v>
      </c>
      <c r="O16" s="8">
        <v>105</v>
      </c>
      <c r="P16" s="28" t="s">
        <v>23</v>
      </c>
      <c r="Q16" s="8" t="s">
        <v>26</v>
      </c>
      <c r="R16" s="8" t="s">
        <v>61</v>
      </c>
      <c r="S16" s="31" t="s">
        <v>62</v>
      </c>
    </row>
    <row r="17" spans="1:19" ht="51" customHeight="1" x14ac:dyDescent="0.25">
      <c r="A17" s="26"/>
      <c r="B17" s="25" t="s">
        <v>63</v>
      </c>
      <c r="C17" s="29"/>
      <c r="D17" s="8">
        <v>180</v>
      </c>
      <c r="E17" s="8">
        <v>180</v>
      </c>
      <c r="F17" s="28"/>
      <c r="G17" s="8">
        <v>45</v>
      </c>
      <c r="H17" s="8">
        <v>135</v>
      </c>
      <c r="I17" s="1"/>
      <c r="J17" s="8">
        <v>180</v>
      </c>
      <c r="K17" s="28"/>
      <c r="L17" s="8"/>
      <c r="M17" s="8"/>
      <c r="N17" s="8">
        <v>180</v>
      </c>
      <c r="O17" s="8">
        <v>180</v>
      </c>
      <c r="P17" s="28" t="s">
        <v>23</v>
      </c>
      <c r="Q17" s="25" t="s">
        <v>64</v>
      </c>
      <c r="R17" s="25" t="s">
        <v>65</v>
      </c>
      <c r="S17" s="31" t="s">
        <v>66</v>
      </c>
    </row>
    <row r="18" spans="1:19" ht="78.75" customHeight="1" x14ac:dyDescent="0.25">
      <c r="A18" s="26"/>
      <c r="B18" s="25" t="s">
        <v>67</v>
      </c>
      <c r="C18" s="29"/>
      <c r="D18" s="8">
        <v>335</v>
      </c>
      <c r="E18" s="8">
        <v>335</v>
      </c>
      <c r="F18" s="28"/>
      <c r="G18" s="8">
        <v>75</v>
      </c>
      <c r="H18" s="8">
        <v>265</v>
      </c>
      <c r="I18" s="8"/>
      <c r="J18" s="8">
        <v>335</v>
      </c>
      <c r="K18" s="28">
        <v>335</v>
      </c>
      <c r="L18" s="8"/>
      <c r="M18" s="8"/>
      <c r="N18" s="8"/>
      <c r="O18" s="8">
        <v>335</v>
      </c>
      <c r="P18" s="28" t="s">
        <v>21</v>
      </c>
      <c r="Q18" s="8" t="s">
        <v>68</v>
      </c>
      <c r="R18" s="25" t="s">
        <v>69</v>
      </c>
      <c r="S18" s="31" t="s">
        <v>70</v>
      </c>
    </row>
    <row r="19" spans="1:19" ht="51" customHeight="1" x14ac:dyDescent="0.25">
      <c r="A19" s="26"/>
      <c r="B19" s="25" t="s">
        <v>71</v>
      </c>
      <c r="C19" s="28">
        <v>185</v>
      </c>
      <c r="D19" s="8">
        <v>250</v>
      </c>
      <c r="E19" s="8">
        <v>435</v>
      </c>
      <c r="F19" s="28">
        <v>435</v>
      </c>
      <c r="G19" s="8"/>
      <c r="H19" s="1"/>
      <c r="I19" s="1"/>
      <c r="J19" s="8">
        <v>435</v>
      </c>
      <c r="K19" s="29"/>
      <c r="L19" s="1"/>
      <c r="M19" s="1"/>
      <c r="N19" s="8">
        <v>435</v>
      </c>
      <c r="O19" s="8">
        <v>435</v>
      </c>
      <c r="P19" s="28" t="s">
        <v>23</v>
      </c>
      <c r="Q19" s="8" t="s">
        <v>23</v>
      </c>
      <c r="R19" s="25" t="s">
        <v>72</v>
      </c>
      <c r="S19" s="25" t="s">
        <v>73</v>
      </c>
    </row>
    <row r="20" spans="1:19" ht="45" customHeight="1" x14ac:dyDescent="0.25">
      <c r="A20" s="26"/>
      <c r="B20" s="25" t="s">
        <v>74</v>
      </c>
      <c r="C20" s="28">
        <v>85</v>
      </c>
      <c r="D20" s="8">
        <v>100</v>
      </c>
      <c r="E20" s="8">
        <v>185</v>
      </c>
      <c r="F20" s="28">
        <v>185</v>
      </c>
      <c r="G20" s="1"/>
      <c r="H20" s="1"/>
      <c r="I20" s="1"/>
      <c r="J20" s="8">
        <v>185</v>
      </c>
      <c r="K20" s="28"/>
      <c r="L20" s="8"/>
      <c r="M20" s="8"/>
      <c r="N20" s="8">
        <v>185</v>
      </c>
      <c r="O20" s="8">
        <v>185</v>
      </c>
      <c r="P20" s="28" t="s">
        <v>75</v>
      </c>
      <c r="Q20" s="8" t="s">
        <v>23</v>
      </c>
      <c r="R20" s="25" t="s">
        <v>76</v>
      </c>
      <c r="S20" s="31" t="s">
        <v>77</v>
      </c>
    </row>
    <row r="21" spans="1:19" ht="46.5" customHeight="1" x14ac:dyDescent="0.25">
      <c r="A21" s="26"/>
      <c r="B21" s="33" t="s">
        <v>78</v>
      </c>
      <c r="C21" s="29"/>
      <c r="D21" s="1"/>
      <c r="E21" s="8"/>
      <c r="F21" s="29"/>
      <c r="G21" s="1"/>
      <c r="H21" s="1"/>
      <c r="I21" s="1"/>
      <c r="J21" s="1"/>
      <c r="K21" s="29"/>
      <c r="L21" s="1"/>
      <c r="M21" s="1"/>
      <c r="N21" s="34" t="s">
        <v>8</v>
      </c>
      <c r="O21" s="35">
        <v>3560</v>
      </c>
      <c r="P21" s="29"/>
      <c r="Q21" s="1"/>
      <c r="R21" s="1"/>
      <c r="S21" s="2"/>
    </row>
    <row r="22" spans="1:19" ht="40.5" customHeight="1" x14ac:dyDescent="0.25">
      <c r="A22" s="26"/>
      <c r="B22" s="1"/>
      <c r="C22" s="29"/>
      <c r="D22" s="1"/>
      <c r="E22" s="8"/>
      <c r="F22" s="29"/>
      <c r="G22" s="1"/>
      <c r="H22" s="1"/>
      <c r="I22" s="1"/>
      <c r="J22" s="36"/>
      <c r="K22" s="29"/>
      <c r="L22" s="1"/>
      <c r="M22" s="1"/>
      <c r="N22" s="37"/>
      <c r="O22" s="38"/>
      <c r="P22" s="29"/>
      <c r="Q22" s="1"/>
      <c r="R22" s="1"/>
      <c r="S22" s="2"/>
    </row>
    <row r="23" spans="1:19" ht="36.75" customHeight="1" x14ac:dyDescent="0.25">
      <c r="A23" s="26"/>
      <c r="B23" s="1"/>
      <c r="C23" s="29"/>
      <c r="D23" s="1"/>
      <c r="E23" s="1"/>
      <c r="F23" s="29"/>
      <c r="G23" s="1"/>
      <c r="H23" s="1"/>
      <c r="I23" s="1"/>
      <c r="J23" s="1"/>
      <c r="K23" s="29"/>
      <c r="L23" s="1"/>
      <c r="M23" s="1"/>
      <c r="N23" s="8"/>
      <c r="O23" s="8"/>
      <c r="P23" s="29"/>
      <c r="Q23" s="1"/>
      <c r="R23" s="1"/>
      <c r="S23" s="2"/>
    </row>
    <row r="24" spans="1:19" ht="39" customHeight="1" x14ac:dyDescent="0.25">
      <c r="A24" s="26"/>
      <c r="B24" s="1"/>
      <c r="C24" s="29"/>
      <c r="D24" s="1"/>
      <c r="E24" s="1"/>
      <c r="F24" s="29"/>
      <c r="G24" s="1"/>
      <c r="H24" s="1"/>
      <c r="I24" s="1"/>
      <c r="J24" s="1"/>
      <c r="K24" s="29"/>
      <c r="L24" s="1"/>
      <c r="M24" s="1"/>
      <c r="N24" s="1"/>
      <c r="O24" s="1"/>
      <c r="P24" s="29"/>
      <c r="Q24" s="1"/>
      <c r="R24" s="1"/>
      <c r="S24" s="2"/>
    </row>
    <row r="25" spans="1:19" ht="33.75" customHeight="1" x14ac:dyDescent="0.25">
      <c r="A25" s="26"/>
      <c r="B25" s="1"/>
      <c r="C25" s="29"/>
      <c r="D25" s="1"/>
      <c r="E25" s="1"/>
      <c r="F25" s="29"/>
      <c r="G25" s="1"/>
      <c r="H25" s="1"/>
      <c r="I25" s="1"/>
      <c r="J25" s="1"/>
      <c r="K25" s="29"/>
      <c r="L25" s="1"/>
      <c r="M25" s="1"/>
      <c r="N25" s="1"/>
      <c r="O25" s="1"/>
      <c r="P25" s="29"/>
      <c r="Q25" s="1"/>
      <c r="R25" s="1"/>
      <c r="S25" s="2"/>
    </row>
    <row r="26" spans="1:19" ht="39.75" customHeight="1" x14ac:dyDescent="0.25">
      <c r="A26" s="26"/>
      <c r="B26" s="1"/>
      <c r="C26" s="29"/>
      <c r="D26" s="1"/>
      <c r="E26" s="1"/>
      <c r="F26" s="29"/>
      <c r="G26" s="1"/>
      <c r="H26" s="1"/>
      <c r="I26" s="1"/>
      <c r="J26" s="1"/>
      <c r="K26" s="29"/>
      <c r="L26" s="1"/>
      <c r="M26" s="1"/>
      <c r="N26" s="1"/>
      <c r="O26" s="1"/>
      <c r="P26" s="29"/>
      <c r="Q26" s="1"/>
      <c r="R26" s="1"/>
      <c r="S26" s="2"/>
    </row>
    <row r="27" spans="1:19" ht="34.5" customHeight="1" x14ac:dyDescent="0.25">
      <c r="A27" s="26"/>
      <c r="B27" s="1"/>
      <c r="C27" s="29"/>
      <c r="D27" s="1"/>
      <c r="E27" s="1"/>
      <c r="F27" s="29"/>
      <c r="G27" s="1"/>
      <c r="H27" s="1"/>
      <c r="I27" s="1"/>
      <c r="J27" s="1"/>
      <c r="K27" s="29"/>
      <c r="L27" s="1"/>
      <c r="M27" s="1"/>
      <c r="N27" s="1"/>
      <c r="O27" s="1"/>
      <c r="P27" s="29"/>
      <c r="Q27" s="1"/>
      <c r="R27" s="1"/>
      <c r="S27" s="2"/>
    </row>
    <row r="28" spans="1:19" ht="20.100000000000001" customHeight="1" x14ac:dyDescent="0.25">
      <c r="A28" s="26"/>
      <c r="B28" s="1"/>
      <c r="C28" s="29"/>
      <c r="D28" s="1"/>
      <c r="E28" s="1"/>
      <c r="F28" s="29"/>
      <c r="G28" s="1"/>
      <c r="H28" s="1"/>
      <c r="I28" s="1"/>
      <c r="J28" s="1"/>
      <c r="K28" s="29"/>
      <c r="L28" s="1"/>
      <c r="M28" s="1"/>
      <c r="N28" s="1"/>
      <c r="O28" s="1"/>
      <c r="P28" s="29"/>
      <c r="Q28" s="1"/>
      <c r="R28" s="1"/>
      <c r="S28" s="2"/>
    </row>
    <row r="29" spans="1:19" ht="20.100000000000001" customHeight="1" x14ac:dyDescent="0.25">
      <c r="A29" s="26"/>
      <c r="B29" s="1"/>
      <c r="C29" s="29"/>
      <c r="D29" s="1"/>
      <c r="E29" s="1"/>
      <c r="F29" s="29"/>
      <c r="G29" s="1"/>
      <c r="H29" s="1"/>
      <c r="I29" s="1"/>
      <c r="J29" s="1"/>
      <c r="K29" s="29"/>
      <c r="L29" s="1"/>
      <c r="M29" s="1"/>
      <c r="N29" s="1"/>
      <c r="O29" s="1"/>
      <c r="P29" s="29"/>
      <c r="Q29" s="1"/>
      <c r="R29" s="1"/>
      <c r="S29" s="2"/>
    </row>
    <row r="30" spans="1:19" ht="20.100000000000001" customHeight="1" x14ac:dyDescent="0.25">
      <c r="A30" s="26"/>
      <c r="B30" s="1"/>
      <c r="C30" s="29"/>
      <c r="D30" s="1"/>
      <c r="E30" s="1"/>
      <c r="F30" s="29"/>
      <c r="G30" s="1"/>
      <c r="H30" s="1"/>
      <c r="I30" s="1"/>
      <c r="J30" s="1"/>
      <c r="K30" s="29"/>
      <c r="L30" s="1"/>
      <c r="M30" s="1"/>
      <c r="N30" s="1"/>
      <c r="O30" s="1"/>
      <c r="P30" s="29"/>
      <c r="Q30" s="1"/>
      <c r="R30" s="1"/>
      <c r="S30" s="2"/>
    </row>
    <row r="31" spans="1:19" ht="20.100000000000001" customHeight="1" x14ac:dyDescent="0.25">
      <c r="A31" s="26"/>
      <c r="B31" s="1"/>
      <c r="C31" s="29"/>
      <c r="D31" s="1"/>
      <c r="E31" s="1"/>
      <c r="F31" s="29"/>
      <c r="G31" s="1"/>
      <c r="H31" s="1"/>
      <c r="I31" s="1"/>
      <c r="J31" s="1"/>
      <c r="K31" s="29"/>
      <c r="L31" s="1"/>
      <c r="M31" s="1"/>
      <c r="N31" s="1"/>
      <c r="O31" s="1"/>
      <c r="P31" s="29"/>
      <c r="Q31" s="1"/>
      <c r="R31" s="1"/>
      <c r="S31" s="2"/>
    </row>
    <row r="32" spans="1:19" ht="20.100000000000001" customHeight="1" x14ac:dyDescent="0.25">
      <c r="A32" s="26"/>
      <c r="B32" s="1"/>
      <c r="C32" s="29"/>
      <c r="D32" s="1"/>
      <c r="E32" s="1"/>
      <c r="F32" s="29"/>
      <c r="G32" s="1"/>
      <c r="H32" s="1"/>
      <c r="I32" s="1"/>
      <c r="J32" s="1"/>
      <c r="K32" s="29"/>
      <c r="L32" s="1"/>
      <c r="M32" s="1"/>
      <c r="N32" s="1"/>
      <c r="O32" s="1"/>
      <c r="P32" s="29"/>
      <c r="Q32" s="1"/>
      <c r="R32" s="1"/>
      <c r="S32" s="2"/>
    </row>
    <row r="33" spans="1:19" ht="20.100000000000001" customHeight="1" x14ac:dyDescent="0.25">
      <c r="A33" s="26"/>
      <c r="B33" s="1"/>
      <c r="C33" s="29"/>
      <c r="D33" s="1"/>
      <c r="E33" s="1"/>
      <c r="F33" s="29"/>
      <c r="G33" s="1"/>
      <c r="H33" s="1"/>
      <c r="I33" s="1"/>
      <c r="J33" s="1"/>
      <c r="K33" s="29"/>
      <c r="L33" s="1"/>
      <c r="M33" s="1"/>
      <c r="N33" s="1"/>
      <c r="O33" s="1"/>
      <c r="P33" s="29"/>
      <c r="Q33" s="1"/>
      <c r="R33" s="1"/>
      <c r="S33" s="2"/>
    </row>
    <row r="34" spans="1:19" ht="20.100000000000001" customHeight="1" x14ac:dyDescent="0.25">
      <c r="A34" s="26"/>
      <c r="B34" s="1"/>
      <c r="C34" s="29"/>
      <c r="D34" s="1"/>
      <c r="E34" s="1"/>
      <c r="F34" s="29"/>
      <c r="G34" s="1"/>
      <c r="H34" s="1"/>
      <c r="I34" s="1"/>
      <c r="J34" s="1"/>
      <c r="K34" s="29"/>
      <c r="L34" s="1"/>
      <c r="M34" s="1"/>
      <c r="N34" s="1"/>
      <c r="O34" s="1"/>
      <c r="P34" s="29"/>
      <c r="Q34" s="1"/>
      <c r="R34" s="1"/>
      <c r="S34" s="2"/>
    </row>
    <row r="35" spans="1:19" ht="20.100000000000001" customHeight="1" x14ac:dyDescent="0.25">
      <c r="A35" s="26"/>
      <c r="B35" s="1"/>
      <c r="C35" s="29"/>
      <c r="D35" s="1"/>
      <c r="E35" s="1"/>
      <c r="F35" s="29"/>
      <c r="G35" s="1"/>
      <c r="H35" s="1"/>
      <c r="I35" s="1"/>
      <c r="J35" s="1"/>
      <c r="K35" s="29"/>
      <c r="L35" s="1"/>
      <c r="M35" s="1"/>
      <c r="N35" s="1"/>
      <c r="O35" s="1"/>
      <c r="P35" s="29"/>
      <c r="Q35" s="1"/>
      <c r="R35" s="1"/>
      <c r="S35" s="2"/>
    </row>
    <row r="36" spans="1:19" ht="20.100000000000001" customHeight="1" x14ac:dyDescent="0.25">
      <c r="A36" s="26"/>
      <c r="B36" s="1"/>
      <c r="C36" s="29"/>
      <c r="D36" s="1"/>
      <c r="E36" s="1"/>
      <c r="F36" s="29"/>
      <c r="G36" s="1"/>
      <c r="H36" s="1"/>
      <c r="I36" s="1"/>
      <c r="J36" s="1"/>
      <c r="K36" s="29"/>
      <c r="L36" s="1"/>
      <c r="M36" s="1"/>
      <c r="N36" s="1"/>
      <c r="O36" s="1"/>
      <c r="P36" s="29"/>
      <c r="Q36" s="1"/>
      <c r="R36" s="1"/>
      <c r="S36" s="2"/>
    </row>
    <row r="37" spans="1:19" ht="20.100000000000001" customHeight="1" x14ac:dyDescent="0.25">
      <c r="A37" s="26"/>
      <c r="B37" s="1"/>
      <c r="C37" s="29"/>
      <c r="D37" s="1"/>
      <c r="E37" s="1"/>
      <c r="F37" s="29"/>
      <c r="G37" s="1"/>
      <c r="H37" s="1"/>
      <c r="I37" s="1"/>
      <c r="J37" s="1"/>
      <c r="K37" s="29"/>
      <c r="L37" s="1"/>
      <c r="M37" s="1"/>
      <c r="N37" s="1"/>
      <c r="O37" s="1"/>
      <c r="P37" s="29"/>
      <c r="Q37" s="1"/>
      <c r="R37" s="1"/>
      <c r="S37" s="2"/>
    </row>
    <row r="38" spans="1:19" ht="20.100000000000001" customHeight="1" x14ac:dyDescent="0.25">
      <c r="A38" s="26"/>
      <c r="B38" s="1"/>
      <c r="C38" s="29"/>
      <c r="D38" s="1"/>
      <c r="E38" s="1"/>
      <c r="F38" s="29"/>
      <c r="G38" s="1"/>
      <c r="H38" s="1"/>
      <c r="I38" s="1"/>
      <c r="J38" s="1"/>
      <c r="K38" s="29"/>
      <c r="L38" s="1"/>
      <c r="M38" s="1"/>
      <c r="N38" s="1"/>
      <c r="O38" s="1"/>
      <c r="P38" s="29"/>
      <c r="Q38" s="1"/>
      <c r="R38" s="1"/>
      <c r="S38" s="2"/>
    </row>
    <row r="39" spans="1:19" ht="20.100000000000001" customHeight="1" x14ac:dyDescent="0.25">
      <c r="A39" s="26"/>
      <c r="B39" s="1"/>
      <c r="C39" s="29"/>
      <c r="D39" s="1"/>
      <c r="E39" s="1"/>
      <c r="F39" s="29"/>
      <c r="G39" s="1"/>
      <c r="H39" s="1"/>
      <c r="I39" s="1"/>
      <c r="J39" s="1"/>
      <c r="K39" s="29"/>
      <c r="L39" s="1"/>
      <c r="M39" s="1"/>
      <c r="N39" s="1"/>
      <c r="O39" s="1"/>
      <c r="P39" s="29"/>
      <c r="Q39" s="1"/>
      <c r="R39" s="1"/>
      <c r="S39" s="2"/>
    </row>
    <row r="40" spans="1:19" ht="20.100000000000001" customHeight="1" x14ac:dyDescent="0.25">
      <c r="A40" s="26"/>
      <c r="B40" s="1"/>
      <c r="C40" s="29"/>
      <c r="D40" s="1"/>
      <c r="E40" s="1"/>
      <c r="F40" s="29"/>
      <c r="G40" s="1"/>
      <c r="H40" s="1"/>
      <c r="I40" s="1"/>
      <c r="J40" s="1"/>
      <c r="K40" s="29"/>
      <c r="L40" s="1"/>
      <c r="M40" s="1"/>
      <c r="N40" s="1"/>
      <c r="O40" s="1"/>
      <c r="P40" s="29"/>
      <c r="Q40" s="1"/>
      <c r="R40" s="1"/>
      <c r="S40" s="2"/>
    </row>
    <row r="41" spans="1:19" ht="20.100000000000001" customHeight="1" x14ac:dyDescent="0.25">
      <c r="A41" s="26"/>
      <c r="B41" s="1"/>
      <c r="C41" s="29"/>
      <c r="D41" s="1"/>
      <c r="E41" s="1"/>
      <c r="F41" s="29"/>
      <c r="G41" s="1"/>
      <c r="H41" s="1"/>
      <c r="I41" s="1"/>
      <c r="J41" s="1"/>
      <c r="K41" s="29"/>
      <c r="L41" s="1"/>
      <c r="M41" s="1"/>
      <c r="N41" s="1"/>
      <c r="O41" s="1"/>
      <c r="P41" s="29"/>
      <c r="Q41" s="1"/>
      <c r="R41" s="1"/>
      <c r="S41" s="2"/>
    </row>
    <row r="42" spans="1:19" ht="20.100000000000001" customHeight="1" x14ac:dyDescent="0.25">
      <c r="A42" s="26"/>
      <c r="B42" s="1"/>
      <c r="C42" s="29"/>
      <c r="D42" s="1"/>
      <c r="E42" s="1"/>
      <c r="F42" s="29"/>
      <c r="G42" s="1"/>
      <c r="H42" s="1"/>
      <c r="I42" s="1"/>
      <c r="J42" s="1"/>
      <c r="K42" s="29"/>
      <c r="L42" s="1"/>
      <c r="M42" s="1"/>
      <c r="N42" s="1"/>
      <c r="O42" s="1"/>
      <c r="P42" s="29"/>
      <c r="Q42" s="1"/>
      <c r="R42" s="1"/>
      <c r="S42" s="2"/>
    </row>
    <row r="43" spans="1:19" ht="20.100000000000001" customHeight="1" x14ac:dyDescent="0.25">
      <c r="A43" s="26"/>
      <c r="B43" s="1"/>
      <c r="C43" s="29"/>
      <c r="D43" s="1"/>
      <c r="E43" s="1"/>
      <c r="F43" s="29"/>
      <c r="G43" s="1"/>
      <c r="H43" s="1"/>
      <c r="I43" s="1"/>
      <c r="J43" s="1"/>
      <c r="K43" s="29"/>
      <c r="L43" s="1"/>
      <c r="M43" s="1"/>
      <c r="N43" s="1"/>
      <c r="O43" s="1"/>
      <c r="P43" s="29"/>
      <c r="Q43" s="1"/>
      <c r="R43" s="1"/>
      <c r="S43" s="2"/>
    </row>
    <row r="44" spans="1:19" x14ac:dyDescent="0.25">
      <c r="B44" s="1"/>
    </row>
    <row r="45" spans="1:19" x14ac:dyDescent="0.25">
      <c r="B45" s="1"/>
    </row>
    <row r="46" spans="1:19" x14ac:dyDescent="0.25">
      <c r="B46" s="1"/>
    </row>
    <row r="47" spans="1:19" x14ac:dyDescent="0.25">
      <c r="B47" s="1"/>
    </row>
    <row r="48" spans="1:19" x14ac:dyDescent="0.25">
      <c r="B48" s="1"/>
    </row>
    <row r="49" spans="2:2" x14ac:dyDescent="0.25">
      <c r="B49" s="1"/>
    </row>
    <row r="50" spans="2:2" x14ac:dyDescent="0.25">
      <c r="B50" s="1"/>
    </row>
    <row r="51" spans="2:2" x14ac:dyDescent="0.25">
      <c r="B51" s="1"/>
    </row>
  </sheetData>
  <pageMargins left="0.33" right="0.28000000000000003" top="0.74803149606299213" bottom="0.74803149606299213" header="0.31496062992125984" footer="0.31496062992125984"/>
  <pageSetup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33A7D-47A6-41D9-A069-DB5952BA806F}">
  <sheetPr>
    <pageSetUpPr fitToPage="1"/>
  </sheetPr>
  <dimension ref="A1:S15"/>
  <sheetViews>
    <sheetView topLeftCell="B1" zoomScale="85" zoomScaleNormal="85" workbookViewId="0">
      <selection activeCell="B8" sqref="B8"/>
    </sheetView>
  </sheetViews>
  <sheetFormatPr baseColWidth="10" defaultRowHeight="15" x14ac:dyDescent="0.25"/>
  <cols>
    <col min="1" max="1" width="25.42578125" hidden="1" customWidth="1"/>
    <col min="2" max="2" width="43.140625" customWidth="1"/>
    <col min="3" max="3" width="10.42578125" customWidth="1"/>
    <col min="4" max="4" width="10" customWidth="1"/>
    <col min="5" max="5" width="9.7109375" customWidth="1"/>
    <col min="6" max="6" width="16.42578125" customWidth="1"/>
    <col min="7" max="7" width="13.140625" customWidth="1"/>
    <col min="8" max="8" width="17.140625" customWidth="1"/>
    <col min="9" max="9" width="22.42578125" customWidth="1"/>
    <col min="10" max="10" width="8.85546875" customWidth="1"/>
    <col min="11" max="11" width="8.140625" customWidth="1"/>
    <col min="12" max="12" width="8.7109375" customWidth="1"/>
    <col min="13" max="13" width="9.7109375" customWidth="1"/>
    <col min="14" max="14" width="9.140625" customWidth="1"/>
    <col min="15" max="15" width="14.28515625" customWidth="1"/>
    <col min="16" max="16" width="22.5703125" customWidth="1"/>
    <col min="17" max="17" width="16.140625" customWidth="1"/>
    <col min="18" max="18" width="22.7109375" customWidth="1"/>
    <col min="19" max="19" width="18.5703125" customWidth="1"/>
  </cols>
  <sheetData>
    <row r="1" spans="1:19" ht="19.5" customHeight="1" x14ac:dyDescent="0.35">
      <c r="A1" s="4"/>
      <c r="B1" s="7" t="s">
        <v>15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</row>
    <row r="2" spans="1:19" ht="19.5" customHeight="1" x14ac:dyDescent="0.35">
      <c r="A2" s="4"/>
      <c r="B2" s="7" t="s">
        <v>6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19" ht="19.5" customHeight="1" thickBot="1" x14ac:dyDescent="0.4">
      <c r="B3" s="7" t="s">
        <v>16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48" thickBot="1" x14ac:dyDescent="0.3">
      <c r="A4" s="6" t="s">
        <v>7</v>
      </c>
      <c r="B4" s="39" t="s">
        <v>17</v>
      </c>
      <c r="C4" s="6" t="s">
        <v>10</v>
      </c>
      <c r="D4" s="40" t="s">
        <v>9</v>
      </c>
      <c r="E4" s="6" t="s">
        <v>8</v>
      </c>
      <c r="F4" s="5" t="s">
        <v>0</v>
      </c>
      <c r="G4" s="5" t="s">
        <v>18</v>
      </c>
      <c r="H4" s="5" t="s">
        <v>5</v>
      </c>
      <c r="I4" s="41" t="s">
        <v>1</v>
      </c>
      <c r="J4" s="5" t="s">
        <v>8</v>
      </c>
      <c r="K4" s="6" t="s">
        <v>2</v>
      </c>
      <c r="L4" s="6" t="s">
        <v>3</v>
      </c>
      <c r="M4" s="6" t="s">
        <v>19</v>
      </c>
      <c r="N4" s="40" t="s">
        <v>4</v>
      </c>
      <c r="O4" s="6" t="s">
        <v>8</v>
      </c>
      <c r="P4" s="5" t="s">
        <v>11</v>
      </c>
      <c r="Q4" s="5" t="s">
        <v>12</v>
      </c>
      <c r="R4" s="5" t="s">
        <v>13</v>
      </c>
      <c r="S4" s="5" t="s">
        <v>14</v>
      </c>
    </row>
    <row r="5" spans="1:19" ht="45" x14ac:dyDescent="0.25">
      <c r="A5" s="2"/>
      <c r="B5" s="42" t="s">
        <v>79</v>
      </c>
      <c r="C5" s="43">
        <v>45</v>
      </c>
      <c r="D5" s="44">
        <v>0</v>
      </c>
      <c r="E5" s="45">
        <f t="shared" ref="E5:E15" si="0">C5+D5</f>
        <v>45</v>
      </c>
      <c r="F5" s="43">
        <v>0</v>
      </c>
      <c r="G5" s="46">
        <v>45</v>
      </c>
      <c r="H5" s="46">
        <v>0</v>
      </c>
      <c r="I5" s="44">
        <v>0</v>
      </c>
      <c r="J5" s="45">
        <f>F5+G5+H6+I6</f>
        <v>45</v>
      </c>
      <c r="K5" s="43">
        <v>0</v>
      </c>
      <c r="L5" s="46">
        <v>0</v>
      </c>
      <c r="M5" s="46">
        <v>0</v>
      </c>
      <c r="N5" s="44">
        <v>45</v>
      </c>
      <c r="O5" s="45">
        <f t="shared" ref="O5:O15" si="1">SUM(K5:N5)</f>
        <v>45</v>
      </c>
      <c r="P5" s="47" t="s">
        <v>23</v>
      </c>
      <c r="Q5" s="47" t="s">
        <v>80</v>
      </c>
      <c r="R5" s="48" t="s">
        <v>81</v>
      </c>
      <c r="S5" s="49" t="s">
        <v>82</v>
      </c>
    </row>
    <row r="6" spans="1:19" ht="75" x14ac:dyDescent="0.25">
      <c r="A6" s="2"/>
      <c r="B6" s="50" t="s">
        <v>79</v>
      </c>
      <c r="C6" s="43">
        <v>0</v>
      </c>
      <c r="D6" s="44">
        <v>15</v>
      </c>
      <c r="E6" s="45">
        <f t="shared" si="0"/>
        <v>15</v>
      </c>
      <c r="F6" s="43">
        <v>0</v>
      </c>
      <c r="G6" s="46">
        <v>15</v>
      </c>
      <c r="H6" s="46">
        <v>0</v>
      </c>
      <c r="I6" s="44">
        <v>0</v>
      </c>
      <c r="J6" s="45">
        <f>F6+G6+H7+I7</f>
        <v>15</v>
      </c>
      <c r="K6" s="43">
        <v>0</v>
      </c>
      <c r="L6" s="46">
        <v>0</v>
      </c>
      <c r="M6" s="46">
        <v>0</v>
      </c>
      <c r="N6" s="44">
        <v>15</v>
      </c>
      <c r="O6" s="45">
        <f t="shared" si="1"/>
        <v>15</v>
      </c>
      <c r="P6" s="47" t="s">
        <v>23</v>
      </c>
      <c r="Q6" s="47" t="s">
        <v>83</v>
      </c>
      <c r="R6" s="48" t="s">
        <v>84</v>
      </c>
      <c r="S6" s="49" t="s">
        <v>85</v>
      </c>
    </row>
    <row r="7" spans="1:19" ht="45" x14ac:dyDescent="0.25">
      <c r="A7" s="2"/>
      <c r="B7" s="50" t="s">
        <v>79</v>
      </c>
      <c r="C7" s="43">
        <v>15</v>
      </c>
      <c r="D7" s="44">
        <v>15</v>
      </c>
      <c r="E7" s="45">
        <f t="shared" si="0"/>
        <v>30</v>
      </c>
      <c r="F7" s="43">
        <v>0</v>
      </c>
      <c r="G7" s="46">
        <v>30</v>
      </c>
      <c r="H7" s="46">
        <v>0</v>
      </c>
      <c r="I7" s="44">
        <v>0</v>
      </c>
      <c r="J7" s="45">
        <f t="shared" ref="J7:J15" si="2">F7+G7+H7+I7</f>
        <v>30</v>
      </c>
      <c r="K7" s="43">
        <v>0</v>
      </c>
      <c r="L7" s="46">
        <v>0</v>
      </c>
      <c r="M7" s="46">
        <v>0</v>
      </c>
      <c r="N7" s="44">
        <v>30</v>
      </c>
      <c r="O7" s="45">
        <f t="shared" si="1"/>
        <v>30</v>
      </c>
      <c r="P7" s="47" t="s">
        <v>22</v>
      </c>
      <c r="Q7" s="47" t="s">
        <v>22</v>
      </c>
      <c r="R7" s="47" t="s">
        <v>86</v>
      </c>
      <c r="S7" s="49" t="s">
        <v>87</v>
      </c>
    </row>
    <row r="8" spans="1:19" ht="30" x14ac:dyDescent="0.25">
      <c r="A8" s="2"/>
      <c r="B8" s="50" t="s">
        <v>88</v>
      </c>
      <c r="C8" s="51">
        <v>0</v>
      </c>
      <c r="D8" s="52">
        <v>19</v>
      </c>
      <c r="E8" s="53">
        <f t="shared" si="0"/>
        <v>19</v>
      </c>
      <c r="F8" s="43">
        <v>0</v>
      </c>
      <c r="G8" s="54">
        <v>19</v>
      </c>
      <c r="H8" s="54">
        <v>0</v>
      </c>
      <c r="I8" s="44">
        <v>0</v>
      </c>
      <c r="J8" s="53">
        <f t="shared" si="2"/>
        <v>19</v>
      </c>
      <c r="K8" s="43">
        <v>0</v>
      </c>
      <c r="L8" s="46">
        <v>0</v>
      </c>
      <c r="M8" s="46">
        <v>0</v>
      </c>
      <c r="N8" s="44">
        <v>19</v>
      </c>
      <c r="O8" s="53">
        <f t="shared" si="1"/>
        <v>19</v>
      </c>
      <c r="P8" s="48" t="s">
        <v>23</v>
      </c>
      <c r="Q8" s="48" t="s">
        <v>23</v>
      </c>
      <c r="R8" s="48" t="s">
        <v>89</v>
      </c>
      <c r="S8" s="48" t="s">
        <v>90</v>
      </c>
    </row>
    <row r="9" spans="1:19" ht="30" x14ac:dyDescent="0.25">
      <c r="A9" s="2"/>
      <c r="B9" s="50" t="s">
        <v>88</v>
      </c>
      <c r="C9" s="51">
        <v>0</v>
      </c>
      <c r="D9" s="52">
        <v>20</v>
      </c>
      <c r="E9" s="53">
        <f t="shared" si="0"/>
        <v>20</v>
      </c>
      <c r="F9" s="43">
        <v>0</v>
      </c>
      <c r="G9" s="54">
        <v>20</v>
      </c>
      <c r="H9" s="54">
        <v>0</v>
      </c>
      <c r="I9" s="44">
        <v>0</v>
      </c>
      <c r="J9" s="53">
        <f t="shared" si="2"/>
        <v>20</v>
      </c>
      <c r="K9" s="43">
        <v>0</v>
      </c>
      <c r="L9" s="46">
        <v>0</v>
      </c>
      <c r="M9" s="46">
        <v>0</v>
      </c>
      <c r="N9" s="44">
        <v>20</v>
      </c>
      <c r="O9" s="53">
        <f t="shared" si="1"/>
        <v>20</v>
      </c>
      <c r="P9" s="48" t="s">
        <v>23</v>
      </c>
      <c r="Q9" s="48" t="s">
        <v>23</v>
      </c>
      <c r="R9" s="48" t="s">
        <v>91</v>
      </c>
      <c r="S9" s="48" t="s">
        <v>92</v>
      </c>
    </row>
    <row r="10" spans="1:19" ht="30" x14ac:dyDescent="0.25">
      <c r="A10" s="2"/>
      <c r="B10" s="50" t="s">
        <v>88</v>
      </c>
      <c r="C10" s="51">
        <v>13</v>
      </c>
      <c r="D10" s="52">
        <v>0</v>
      </c>
      <c r="E10" s="53">
        <f t="shared" si="0"/>
        <v>13</v>
      </c>
      <c r="F10" s="43">
        <v>0</v>
      </c>
      <c r="G10" s="54">
        <v>13</v>
      </c>
      <c r="H10" s="54">
        <v>0</v>
      </c>
      <c r="I10" s="44">
        <v>0</v>
      </c>
      <c r="J10" s="53">
        <f t="shared" si="2"/>
        <v>13</v>
      </c>
      <c r="K10" s="43">
        <v>0</v>
      </c>
      <c r="L10" s="46">
        <v>0</v>
      </c>
      <c r="M10" s="46">
        <v>0</v>
      </c>
      <c r="N10" s="44">
        <v>13</v>
      </c>
      <c r="O10" s="53">
        <f t="shared" si="1"/>
        <v>13</v>
      </c>
      <c r="P10" s="48" t="s">
        <v>23</v>
      </c>
      <c r="Q10" s="48" t="s">
        <v>23</v>
      </c>
      <c r="R10" s="48" t="s">
        <v>93</v>
      </c>
      <c r="S10" s="48" t="s">
        <v>94</v>
      </c>
    </row>
    <row r="11" spans="1:19" ht="30" x14ac:dyDescent="0.25">
      <c r="A11" s="2"/>
      <c r="B11" s="50" t="s">
        <v>88</v>
      </c>
      <c r="C11" s="51">
        <v>0</v>
      </c>
      <c r="D11" s="52">
        <v>12</v>
      </c>
      <c r="E11" s="53">
        <f t="shared" si="0"/>
        <v>12</v>
      </c>
      <c r="F11" s="43">
        <v>3</v>
      </c>
      <c r="G11" s="54">
        <v>9</v>
      </c>
      <c r="H11" s="54">
        <v>0</v>
      </c>
      <c r="I11" s="44">
        <v>0</v>
      </c>
      <c r="J11" s="53">
        <f t="shared" si="2"/>
        <v>12</v>
      </c>
      <c r="K11" s="43">
        <v>0</v>
      </c>
      <c r="L11" s="46">
        <v>0</v>
      </c>
      <c r="M11" s="46">
        <v>0</v>
      </c>
      <c r="N11" s="44">
        <v>12</v>
      </c>
      <c r="O11" s="53">
        <f t="shared" si="1"/>
        <v>12</v>
      </c>
      <c r="P11" s="48" t="s">
        <v>21</v>
      </c>
      <c r="Q11" s="48" t="s">
        <v>21</v>
      </c>
      <c r="R11" s="48" t="s">
        <v>95</v>
      </c>
      <c r="S11" s="55" t="s">
        <v>96</v>
      </c>
    </row>
    <row r="12" spans="1:19" ht="30" x14ac:dyDescent="0.25">
      <c r="A12" s="2"/>
      <c r="B12" s="50" t="s">
        <v>88</v>
      </c>
      <c r="C12" s="51">
        <v>5</v>
      </c>
      <c r="D12" s="52">
        <v>7</v>
      </c>
      <c r="E12" s="53">
        <f t="shared" si="0"/>
        <v>12</v>
      </c>
      <c r="F12" s="43">
        <v>1</v>
      </c>
      <c r="G12" s="54">
        <v>11</v>
      </c>
      <c r="H12" s="54">
        <v>0</v>
      </c>
      <c r="I12" s="44">
        <v>0</v>
      </c>
      <c r="J12" s="53">
        <f t="shared" si="2"/>
        <v>12</v>
      </c>
      <c r="K12" s="43">
        <v>0</v>
      </c>
      <c r="L12" s="46">
        <v>0</v>
      </c>
      <c r="M12" s="46">
        <v>0</v>
      </c>
      <c r="N12" s="44">
        <v>12</v>
      </c>
      <c r="O12" s="53">
        <f t="shared" si="1"/>
        <v>12</v>
      </c>
      <c r="P12" s="48" t="s">
        <v>21</v>
      </c>
      <c r="Q12" s="48" t="s">
        <v>68</v>
      </c>
      <c r="R12" s="48" t="s">
        <v>97</v>
      </c>
      <c r="S12" s="55" t="s">
        <v>98</v>
      </c>
    </row>
    <row r="13" spans="1:19" ht="45" x14ac:dyDescent="0.25">
      <c r="A13" s="2"/>
      <c r="B13" s="50" t="s">
        <v>88</v>
      </c>
      <c r="C13" s="51">
        <v>6</v>
      </c>
      <c r="D13" s="52">
        <v>6</v>
      </c>
      <c r="E13" s="53">
        <f t="shared" si="0"/>
        <v>12</v>
      </c>
      <c r="F13" s="43">
        <v>10</v>
      </c>
      <c r="G13" s="54">
        <v>2</v>
      </c>
      <c r="H13" s="54">
        <v>0</v>
      </c>
      <c r="I13" s="44">
        <v>0</v>
      </c>
      <c r="J13" s="53">
        <f t="shared" si="2"/>
        <v>12</v>
      </c>
      <c r="K13" s="43">
        <v>0</v>
      </c>
      <c r="L13" s="46">
        <v>0</v>
      </c>
      <c r="M13" s="46">
        <v>0</v>
      </c>
      <c r="N13" s="44">
        <v>12</v>
      </c>
      <c r="O13" s="53">
        <f t="shared" si="1"/>
        <v>12</v>
      </c>
      <c r="P13" s="48" t="s">
        <v>20</v>
      </c>
      <c r="Q13" s="48" t="s">
        <v>99</v>
      </c>
      <c r="R13" s="48" t="s">
        <v>100</v>
      </c>
      <c r="S13" s="55" t="s">
        <v>101</v>
      </c>
    </row>
    <row r="14" spans="1:19" ht="30" x14ac:dyDescent="0.25">
      <c r="A14" s="2"/>
      <c r="B14" s="50" t="s">
        <v>88</v>
      </c>
      <c r="C14" s="51">
        <v>8</v>
      </c>
      <c r="D14" s="52">
        <v>4</v>
      </c>
      <c r="E14" s="53">
        <f t="shared" si="0"/>
        <v>12</v>
      </c>
      <c r="F14" s="43">
        <v>3</v>
      </c>
      <c r="G14" s="54">
        <v>9</v>
      </c>
      <c r="H14" s="54">
        <v>0</v>
      </c>
      <c r="I14" s="44">
        <v>0</v>
      </c>
      <c r="J14" s="53">
        <f t="shared" si="2"/>
        <v>12</v>
      </c>
      <c r="K14" s="43">
        <v>0</v>
      </c>
      <c r="L14" s="46">
        <v>0</v>
      </c>
      <c r="M14" s="46">
        <v>0</v>
      </c>
      <c r="N14" s="44">
        <v>12</v>
      </c>
      <c r="O14" s="53">
        <f t="shared" si="1"/>
        <v>12</v>
      </c>
      <c r="P14" s="48" t="s">
        <v>20</v>
      </c>
      <c r="Q14" s="48" t="s">
        <v>99</v>
      </c>
      <c r="R14" s="48" t="s">
        <v>102</v>
      </c>
      <c r="S14" s="55" t="s">
        <v>103</v>
      </c>
    </row>
    <row r="15" spans="1:19" ht="45.75" thickBot="1" x14ac:dyDescent="0.3">
      <c r="A15" s="2"/>
      <c r="B15" s="56" t="s">
        <v>104</v>
      </c>
      <c r="C15" s="57">
        <v>0</v>
      </c>
      <c r="D15" s="58">
        <v>1180</v>
      </c>
      <c r="E15" s="59">
        <f t="shared" si="0"/>
        <v>1180</v>
      </c>
      <c r="F15" s="57">
        <v>0</v>
      </c>
      <c r="G15" s="60">
        <v>0</v>
      </c>
      <c r="H15" s="60">
        <v>1180</v>
      </c>
      <c r="I15" s="58">
        <v>0</v>
      </c>
      <c r="J15" s="61">
        <f t="shared" si="2"/>
        <v>1180</v>
      </c>
      <c r="K15" s="57">
        <v>0</v>
      </c>
      <c r="L15" s="60">
        <v>0</v>
      </c>
      <c r="M15" s="60">
        <v>0</v>
      </c>
      <c r="N15" s="58">
        <v>1180</v>
      </c>
      <c r="O15" s="59">
        <f t="shared" si="1"/>
        <v>1180</v>
      </c>
      <c r="P15" s="62" t="s">
        <v>23</v>
      </c>
      <c r="Q15" s="62" t="s">
        <v>105</v>
      </c>
      <c r="R15" s="62" t="s">
        <v>106</v>
      </c>
      <c r="S15" s="63" t="s">
        <v>107</v>
      </c>
    </row>
  </sheetData>
  <pageMargins left="0.33" right="0.28000000000000003" top="0.74803149606299213" bottom="0.74803149606299213" header="0.31496062992125984" footer="0.31496062992125984"/>
  <pageSetup paperSize="14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PROPEVII</vt:lpstr>
      <vt:lpstr>PROPEVI</vt:lpstr>
      <vt:lpstr>POST-PENITENCIARIA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Angélica Pérez Esquivel</dc:creator>
  <cp:lastModifiedBy>Edson Ricardo Pineda Ortiz</cp:lastModifiedBy>
  <cp:lastPrinted>2026-05-11T17:30:21Z</cp:lastPrinted>
  <dcterms:created xsi:type="dcterms:W3CDTF">2023-11-13T18:19:55Z</dcterms:created>
  <dcterms:modified xsi:type="dcterms:W3CDTF">2026-05-13T17:54:58Z</dcterms:modified>
</cp:coreProperties>
</file>